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uninaOI\Desktop\Оксана 2021\Прогноз социально-экономич.развития\Прогноз на 2026г и на 2027-2028гг\Публичные обсуждения\Публикация на сайт\"/>
    </mc:Choice>
  </mc:AlternateContent>
  <bookViews>
    <workbookView xWindow="0" yWindow="0" windowWidth="28710" windowHeight="11760" tabRatio="850"/>
  </bookViews>
  <sheets>
    <sheet name="форма 2п исправл" sheetId="3" r:id="rId1"/>
    <sheet name="Лист1" sheetId="10" r:id="rId2"/>
  </sheets>
  <definedNames>
    <definedName name="_xlnm.Print_Titles" localSheetId="0">'форма 2п исправл'!$7:$9</definedName>
  </definedNames>
  <calcPr calcId="152511"/>
</workbook>
</file>

<file path=xl/calcChain.xml><?xml version="1.0" encoding="utf-8"?>
<calcChain xmlns="http://schemas.openxmlformats.org/spreadsheetml/2006/main">
  <c r="G87" i="3" l="1"/>
  <c r="G22" i="3" l="1"/>
  <c r="L25" i="3"/>
  <c r="O25" i="3"/>
  <c r="G28" i="3"/>
  <c r="G25" i="3" s="1"/>
  <c r="H28" i="3"/>
  <c r="I28" i="3"/>
  <c r="I25" i="3" s="1"/>
  <c r="J28" i="3"/>
  <c r="K28" i="3"/>
  <c r="K25" i="3" s="1"/>
  <c r="M28" i="3"/>
  <c r="N28" i="3"/>
  <c r="P28" i="3"/>
  <c r="Q28" i="3"/>
  <c r="L30" i="3"/>
  <c r="O30" i="3"/>
  <c r="G33" i="3"/>
  <c r="H33" i="3"/>
  <c r="I33" i="3"/>
  <c r="J33" i="3"/>
  <c r="K33" i="3"/>
  <c r="M33" i="3"/>
  <c r="N33" i="3"/>
  <c r="P33" i="3"/>
  <c r="Q33" i="3"/>
  <c r="G36" i="3"/>
  <c r="H36" i="3"/>
  <c r="I36" i="3"/>
  <c r="J36" i="3"/>
  <c r="K36" i="3"/>
  <c r="M36" i="3"/>
  <c r="N36" i="3"/>
  <c r="P36" i="3"/>
  <c r="Q36" i="3"/>
  <c r="G40" i="3"/>
  <c r="H40" i="3"/>
  <c r="I40" i="3"/>
  <c r="J40" i="3"/>
  <c r="K40" i="3"/>
  <c r="M40" i="3"/>
  <c r="N40" i="3"/>
  <c r="P40" i="3"/>
  <c r="Q40" i="3"/>
  <c r="P42" i="3"/>
  <c r="Q42" i="3"/>
  <c r="G44" i="3"/>
  <c r="H44" i="3"/>
  <c r="I44" i="3"/>
  <c r="J44" i="3"/>
  <c r="K44" i="3"/>
  <c r="M44" i="3"/>
  <c r="N44" i="3"/>
  <c r="M46" i="3"/>
  <c r="P46" i="3" s="1"/>
  <c r="G48" i="3"/>
  <c r="H48" i="3"/>
  <c r="I48" i="3"/>
  <c r="J48" i="3"/>
  <c r="K48" i="3"/>
  <c r="N48" i="3"/>
  <c r="Q48" i="3"/>
  <c r="G50" i="3"/>
  <c r="H50" i="3"/>
  <c r="I50" i="3"/>
  <c r="L51" i="3"/>
  <c r="O51" i="3"/>
  <c r="J54" i="3"/>
  <c r="J50" i="3" s="1"/>
  <c r="K54" i="3"/>
  <c r="G55" i="3"/>
  <c r="H55" i="3"/>
  <c r="I55" i="3"/>
  <c r="G58" i="3"/>
  <c r="H58" i="3"/>
  <c r="I58" i="3"/>
  <c r="J58" i="3"/>
  <c r="K58" i="3"/>
  <c r="M58" i="3"/>
  <c r="N58" i="3"/>
  <c r="P58" i="3"/>
  <c r="Q58" i="3"/>
  <c r="J72" i="3"/>
  <c r="M72" i="3" s="1"/>
  <c r="P72" i="3" s="1"/>
  <c r="G73" i="3"/>
  <c r="H73" i="3"/>
  <c r="I73" i="3"/>
  <c r="K73" i="3"/>
  <c r="N73" i="3"/>
  <c r="Q73" i="3"/>
  <c r="J75" i="3"/>
  <c r="M75" i="3" s="1"/>
  <c r="P75" i="3" s="1"/>
  <c r="G76" i="3"/>
  <c r="H76" i="3"/>
  <c r="I76" i="3"/>
  <c r="K76" i="3"/>
  <c r="N76" i="3"/>
  <c r="Q76" i="3"/>
  <c r="J78" i="3"/>
  <c r="M78" i="3" s="1"/>
  <c r="P78" i="3" s="1"/>
  <c r="G79" i="3"/>
  <c r="H79" i="3"/>
  <c r="I79" i="3"/>
  <c r="K79" i="3"/>
  <c r="N79" i="3"/>
  <c r="Q79" i="3"/>
  <c r="G84" i="3"/>
  <c r="H87" i="3"/>
  <c r="H84" i="3" s="1"/>
  <c r="I87" i="3"/>
  <c r="I84" i="3" s="1"/>
  <c r="J87" i="3"/>
  <c r="J84" i="3" s="1"/>
  <c r="K87" i="3"/>
  <c r="K84" i="3" s="1"/>
  <c r="M87" i="3"/>
  <c r="M84" i="3" s="1"/>
  <c r="N87" i="3"/>
  <c r="N84" i="3" s="1"/>
  <c r="P87" i="3"/>
  <c r="P84" i="3" s="1"/>
  <c r="Q87" i="3"/>
  <c r="Q84" i="3" s="1"/>
  <c r="G93" i="3"/>
  <c r="H93" i="3"/>
  <c r="I93" i="3"/>
  <c r="J93" i="3"/>
  <c r="K93" i="3"/>
  <c r="L93" i="3"/>
  <c r="L88" i="3" s="1"/>
  <c r="L87" i="3" s="1"/>
  <c r="L84" i="3" s="1"/>
  <c r="M93" i="3"/>
  <c r="N93" i="3"/>
  <c r="O93" i="3"/>
  <c r="O88" i="3" s="1"/>
  <c r="O87" i="3" s="1"/>
  <c r="O84" i="3" s="1"/>
  <c r="P93" i="3"/>
  <c r="Q93" i="3"/>
  <c r="H101" i="3"/>
  <c r="G102" i="3"/>
  <c r="G111" i="3" s="1"/>
  <c r="H102" i="3"/>
  <c r="I111" i="3"/>
  <c r="J111" i="3"/>
  <c r="K111" i="3"/>
  <c r="L111" i="3"/>
  <c r="L100" i="3" s="1"/>
  <c r="M111" i="3"/>
  <c r="N111" i="3"/>
  <c r="O111" i="3"/>
  <c r="O100" i="3" s="1"/>
  <c r="O134" i="3" s="1"/>
  <c r="P111" i="3"/>
  <c r="Q111" i="3"/>
  <c r="I112" i="3"/>
  <c r="J112" i="3"/>
  <c r="K112" i="3"/>
  <c r="M112" i="3"/>
  <c r="N112" i="3"/>
  <c r="P112" i="3"/>
  <c r="Q112" i="3"/>
  <c r="I114" i="3"/>
  <c r="G119" i="3"/>
  <c r="H119" i="3"/>
  <c r="L119" i="3"/>
  <c r="P119" i="3"/>
  <c r="I121" i="3"/>
  <c r="I125" i="3"/>
  <c r="I127" i="3"/>
  <c r="J127" i="3"/>
  <c r="K127" i="3"/>
  <c r="M127" i="3"/>
  <c r="M119" i="3" s="1"/>
  <c r="N127" i="3"/>
  <c r="N119" i="3" s="1"/>
  <c r="I128" i="3"/>
  <c r="J128" i="3"/>
  <c r="K128" i="3"/>
  <c r="P129" i="3"/>
  <c r="Q129" i="3"/>
  <c r="I131" i="3"/>
  <c r="J131" i="3"/>
  <c r="K131" i="3"/>
  <c r="J132" i="3"/>
  <c r="K132" i="3"/>
  <c r="P133" i="3"/>
  <c r="Q133" i="3"/>
  <c r="G137" i="3"/>
  <c r="G165" i="3" s="1"/>
  <c r="H137" i="3"/>
  <c r="H165" i="3" s="1"/>
  <c r="I137" i="3"/>
  <c r="I165" i="3" s="1"/>
  <c r="J137" i="3"/>
  <c r="J165" i="3" s="1"/>
  <c r="K137" i="3"/>
  <c r="L137" i="3"/>
  <c r="L165" i="3" s="1"/>
  <c r="M137" i="3"/>
  <c r="M165" i="3" s="1"/>
  <c r="N137" i="3"/>
  <c r="N165" i="3" s="1"/>
  <c r="O137" i="3"/>
  <c r="O165" i="3" s="1"/>
  <c r="P137" i="3"/>
  <c r="P165" i="3" s="1"/>
  <c r="Q137" i="3"/>
  <c r="Q165" i="3" s="1"/>
  <c r="L138" i="3"/>
  <c r="O138" i="3"/>
  <c r="G160" i="3"/>
  <c r="G161" i="3" s="1"/>
  <c r="H160" i="3"/>
  <c r="H161" i="3" s="1"/>
  <c r="I160" i="3"/>
  <c r="I161" i="3" s="1"/>
  <c r="J160" i="3"/>
  <c r="K160" i="3"/>
  <c r="K161" i="3" s="1"/>
  <c r="L160" i="3"/>
  <c r="L161" i="3" s="1"/>
  <c r="M160" i="3"/>
  <c r="M161" i="3" s="1"/>
  <c r="N160" i="3"/>
  <c r="N161" i="3" s="1"/>
  <c r="O160" i="3"/>
  <c r="O161" i="3" s="1"/>
  <c r="P160" i="3"/>
  <c r="P161" i="3" s="1"/>
  <c r="Q160" i="3"/>
  <c r="Q161" i="3" s="1"/>
  <c r="J161" i="3"/>
  <c r="G162" i="3"/>
  <c r="H162" i="3"/>
  <c r="I162" i="3"/>
  <c r="J162" i="3"/>
  <c r="K162" i="3"/>
  <c r="L162" i="3"/>
  <c r="M162" i="3"/>
  <c r="N162" i="3"/>
  <c r="O162" i="3"/>
  <c r="P162" i="3"/>
  <c r="Q162" i="3"/>
  <c r="K165" i="3"/>
  <c r="G172" i="3"/>
  <c r="H172" i="3"/>
  <c r="I172" i="3"/>
  <c r="J172" i="3"/>
  <c r="K172" i="3"/>
  <c r="M172" i="3"/>
  <c r="N172" i="3"/>
  <c r="P172" i="3"/>
  <c r="Q172" i="3"/>
  <c r="M163" i="3" l="1"/>
  <c r="M164" i="3" s="1"/>
  <c r="Q25" i="3"/>
  <c r="P100" i="3"/>
  <c r="P134" i="3" s="1"/>
  <c r="G30" i="3"/>
  <c r="G26" i="3" s="1"/>
  <c r="H111" i="3"/>
  <c r="H100" i="3" s="1"/>
  <c r="H134" i="3" s="1"/>
  <c r="O26" i="3"/>
  <c r="H85" i="3"/>
  <c r="H51" i="3"/>
  <c r="M30" i="3"/>
  <c r="M100" i="3"/>
  <c r="Q163" i="3"/>
  <c r="Q164" i="3" s="1"/>
  <c r="K119" i="3"/>
  <c r="L134" i="3"/>
  <c r="J119" i="3"/>
  <c r="K100" i="3"/>
  <c r="I30" i="3"/>
  <c r="I26" i="3" s="1"/>
  <c r="K163" i="3"/>
  <c r="K164" i="3" s="1"/>
  <c r="Q119" i="3"/>
  <c r="Q100" i="3"/>
  <c r="I100" i="3"/>
  <c r="Q30" i="3"/>
  <c r="Q85" i="3"/>
  <c r="H30" i="3"/>
  <c r="N163" i="3"/>
  <c r="N164" i="3" s="1"/>
  <c r="P30" i="3"/>
  <c r="J163" i="3"/>
  <c r="J164" i="3" s="1"/>
  <c r="J100" i="3"/>
  <c r="M85" i="3"/>
  <c r="I51" i="3"/>
  <c r="N30" i="3"/>
  <c r="N25" i="3"/>
  <c r="P163" i="3"/>
  <c r="P164" i="3" s="1"/>
  <c r="H163" i="3"/>
  <c r="H164" i="3" s="1"/>
  <c r="I119" i="3"/>
  <c r="M54" i="3"/>
  <c r="M50" i="3" s="1"/>
  <c r="G51" i="3"/>
  <c r="K30" i="3"/>
  <c r="K26" i="3" s="1"/>
  <c r="L26" i="3"/>
  <c r="J85" i="3"/>
  <c r="J30" i="3"/>
  <c r="N100" i="3"/>
  <c r="N134" i="3" s="1"/>
  <c r="M134" i="3"/>
  <c r="N85" i="3"/>
  <c r="K85" i="3"/>
  <c r="P85" i="3"/>
  <c r="N54" i="3"/>
  <c r="M25" i="3"/>
  <c r="I85" i="3"/>
  <c r="G100" i="3"/>
  <c r="G134" i="3" s="1"/>
  <c r="I163" i="3"/>
  <c r="I164" i="3" s="1"/>
  <c r="J51" i="3"/>
  <c r="K50" i="3"/>
  <c r="K51" i="3" s="1"/>
  <c r="J25" i="3"/>
  <c r="P25" i="3"/>
  <c r="H25" i="3"/>
  <c r="N26" i="3" l="1"/>
  <c r="P26" i="3"/>
  <c r="Q26" i="3"/>
  <c r="Q134" i="3"/>
  <c r="H26" i="3"/>
  <c r="M26" i="3"/>
  <c r="K134" i="3"/>
  <c r="I134" i="3"/>
  <c r="J134" i="3"/>
  <c r="M51" i="3"/>
  <c r="J26" i="3"/>
  <c r="P54" i="3"/>
  <c r="P50" i="3" s="1"/>
  <c r="P51" i="3" s="1"/>
  <c r="N50" i="3"/>
  <c r="N51" i="3" s="1"/>
  <c r="Q54" i="3"/>
  <c r="Q50" i="3" l="1"/>
  <c r="Q51" i="3" s="1"/>
  <c r="F36" i="3" l="1"/>
  <c r="F87" i="3" l="1"/>
  <c r="F84" i="3" s="1"/>
  <c r="F162" i="3"/>
  <c r="G163" i="3" s="1"/>
  <c r="G164" i="3" s="1"/>
  <c r="F138" i="3"/>
  <c r="F76" i="3"/>
  <c r="E76" i="3"/>
  <c r="F119" i="3"/>
  <c r="F134" i="3" s="1"/>
  <c r="F111" i="3"/>
  <c r="F172" i="3"/>
  <c r="E162" i="3"/>
  <c r="D162" i="3"/>
  <c r="D163" i="3" s="1"/>
  <c r="D164" i="3" s="1"/>
  <c r="E138" i="3"/>
  <c r="E137" i="3" s="1"/>
  <c r="E165" i="3" s="1"/>
  <c r="F137" i="3"/>
  <c r="F165" i="3" s="1"/>
  <c r="F160" i="3"/>
  <c r="F161" i="3" s="1"/>
  <c r="F79" i="3"/>
  <c r="F73" i="3"/>
  <c r="F58" i="3"/>
  <c r="F55" i="3"/>
  <c r="F48" i="3"/>
  <c r="F44" i="3"/>
  <c r="F40" i="3"/>
  <c r="F33" i="3"/>
  <c r="F28" i="3"/>
  <c r="F93" i="3"/>
  <c r="E87" i="3"/>
  <c r="E73" i="3"/>
  <c r="E55" i="3"/>
  <c r="F50" i="3"/>
  <c r="E44" i="3"/>
  <c r="E28" i="3"/>
  <c r="D160" i="3"/>
  <c r="D161" i="3" s="1"/>
  <c r="E111" i="3"/>
  <c r="E100" i="3" s="1"/>
  <c r="E119" i="3"/>
  <c r="D138" i="3"/>
  <c r="D137" i="3" s="1"/>
  <c r="D165" i="3" s="1"/>
  <c r="E172" i="3"/>
  <c r="E160" i="3"/>
  <c r="E161" i="3" s="1"/>
  <c r="E93" i="3"/>
  <c r="D87" i="3"/>
  <c r="D84" i="3" s="1"/>
  <c r="E79" i="3"/>
  <c r="E58" i="3"/>
  <c r="E50" i="3"/>
  <c r="E48" i="3"/>
  <c r="E40" i="3"/>
  <c r="E36" i="3"/>
  <c r="E33" i="3"/>
  <c r="D40" i="3"/>
  <c r="D172" i="3"/>
  <c r="C164" i="3"/>
  <c r="C161" i="3"/>
  <c r="C137" i="3"/>
  <c r="D93" i="3"/>
  <c r="C93" i="3"/>
  <c r="C87" i="3"/>
  <c r="C85" i="3"/>
  <c r="D79" i="3"/>
  <c r="C79" i="3"/>
  <c r="D73" i="3"/>
  <c r="C73" i="3"/>
  <c r="D58" i="3"/>
  <c r="C58" i="3"/>
  <c r="D55" i="3"/>
  <c r="C55" i="3"/>
  <c r="D48" i="3"/>
  <c r="C48" i="3"/>
  <c r="D44" i="3"/>
  <c r="C44" i="3"/>
  <c r="C40" i="3"/>
  <c r="D36" i="3"/>
  <c r="C36" i="3"/>
  <c r="D33" i="3"/>
  <c r="C33" i="3"/>
  <c r="D28" i="3"/>
  <c r="C28" i="3"/>
  <c r="C25" i="3" s="1"/>
  <c r="C51" i="3" l="1"/>
  <c r="D30" i="3"/>
  <c r="E51" i="3"/>
  <c r="E134" i="3"/>
  <c r="F163" i="3"/>
  <c r="F164" i="3" s="1"/>
  <c r="D85" i="3"/>
  <c r="E85" i="3"/>
  <c r="F30" i="3"/>
  <c r="E163" i="3"/>
  <c r="E164" i="3" s="1"/>
  <c r="D51" i="3"/>
  <c r="F51" i="3"/>
  <c r="G85" i="3"/>
  <c r="F85" i="3"/>
  <c r="C30" i="3"/>
  <c r="C26" i="3" s="1"/>
  <c r="E25" i="3"/>
  <c r="E30" i="3"/>
  <c r="F25" i="3"/>
  <c r="D25" i="3"/>
  <c r="D26" i="3" s="1"/>
  <c r="F26" i="3" l="1"/>
  <c r="E26" i="3"/>
</calcChain>
</file>

<file path=xl/sharedStrings.xml><?xml version="1.0" encoding="utf-8"?>
<sst xmlns="http://schemas.openxmlformats.org/spreadsheetml/2006/main" count="362" uniqueCount="222">
  <si>
    <t>в том числе по направлениям:</t>
  </si>
  <si>
    <t>налог на доходы физических лиц</t>
  </si>
  <si>
    <t>налог, взимаемый в связи с применением упрощенной системы налогообложения</t>
  </si>
  <si>
    <t>налог на имущество физических лиц</t>
  </si>
  <si>
    <t>налог на имущество организаций</t>
  </si>
  <si>
    <t>земельный налог</t>
  </si>
  <si>
    <t xml:space="preserve">Неналоговые доходы - всего </t>
  </si>
  <si>
    <t>Продукция сельского хозяйства</t>
  </si>
  <si>
    <t>млн. руб.</t>
  </si>
  <si>
    <t>Индекс производства продукции сельского хозяйства</t>
  </si>
  <si>
    <t>Индекс-дефлятор продукции сельского хозяйства в хозяйствах всех категорий</t>
  </si>
  <si>
    <t>Продукция сельского хозяйства в хозяйствах всех категорий, в том числе:</t>
  </si>
  <si>
    <t>Продукция растениеводства</t>
  </si>
  <si>
    <t xml:space="preserve">млн.руб. </t>
  </si>
  <si>
    <t>Индекс производства продукции растениеводства</t>
  </si>
  <si>
    <t>Индекс-дефлятор продукции растениеводства</t>
  </si>
  <si>
    <t>Продукция животноводства</t>
  </si>
  <si>
    <t>Индекс производства продукции животноводства</t>
  </si>
  <si>
    <t>Индекс-дефлятор продукции животноводства</t>
  </si>
  <si>
    <t>в том числе:</t>
  </si>
  <si>
    <t>тыс. тонн</t>
  </si>
  <si>
    <t>Скот и птица на убой (в живом весе)</t>
  </si>
  <si>
    <t>Молоко</t>
  </si>
  <si>
    <t>Яйца</t>
  </si>
  <si>
    <t>млн.шт.</t>
  </si>
  <si>
    <t>тыс. руб.</t>
  </si>
  <si>
    <t>акцизы</t>
  </si>
  <si>
    <t>в ценах соответствующих лет; млн. руб.</t>
  </si>
  <si>
    <t>% к предыдущему году в сопоставимых ценах</t>
  </si>
  <si>
    <t>Ввод в действие жилых домов</t>
  </si>
  <si>
    <t>тыс. кв. м. в общей площади</t>
  </si>
  <si>
    <t>Удельный вес жилых домов, построенных населением</t>
  </si>
  <si>
    <t>%</t>
  </si>
  <si>
    <t>3. Торговля и услуги населению</t>
  </si>
  <si>
    <t>Индекс потребительских цен за период с начала года</t>
  </si>
  <si>
    <t>к соответствующему периоду предыдущего года, %</t>
  </si>
  <si>
    <t>Оборот розничной торговли</t>
  </si>
  <si>
    <t>Индекс-дефлятор оборота розничной торговли</t>
  </si>
  <si>
    <t>Оборот общественного питания</t>
  </si>
  <si>
    <t>Объем платных услуг населению</t>
  </si>
  <si>
    <t>Индекс-дефлятор объема платных услуг</t>
  </si>
  <si>
    <t>единиц</t>
  </si>
  <si>
    <t>тыс. чел.</t>
  </si>
  <si>
    <t>Объем инвестиций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 - всего</t>
  </si>
  <si>
    <t>Индекс физического объема</t>
  </si>
  <si>
    <t>Распределение инвестиций в основной капитал по источникам финансирования (без субъектов малого предпринимательства и объема инвестиций, не наблюдаемых прямыми статистическими методами)</t>
  </si>
  <si>
    <t>Собственные средства</t>
  </si>
  <si>
    <t>млн. рублей</t>
  </si>
  <si>
    <t>Заемные средства других организаций</t>
  </si>
  <si>
    <t>Бюджетные средства</t>
  </si>
  <si>
    <t>Прочие</t>
  </si>
  <si>
    <t>млн.руб.</t>
  </si>
  <si>
    <t>образование</t>
  </si>
  <si>
    <t>социальная политика</t>
  </si>
  <si>
    <t xml:space="preserve"> </t>
  </si>
  <si>
    <t>Уровень зарегистрированной безработицы (на конец года)</t>
  </si>
  <si>
    <t>Численность безработных (по методологии МОТ)</t>
  </si>
  <si>
    <t>Численность безработных, зарегистрированных в  государственных учреждениях службы занятости населения (на конец года)</t>
  </si>
  <si>
    <t>Численность незанятых граждан, зарегистрированных в государственных учреждениях службы занятости населения, в расчете на одну заявленную вакансию (на конец года)</t>
  </si>
  <si>
    <t>Фонд начисленной заработной платы всех работников</t>
  </si>
  <si>
    <t>Численность детей в дошкольных образовательных учреждениях</t>
  </si>
  <si>
    <t xml:space="preserve">Численность обучающихся общеобразовательных учреждениях (без вечерних (сменных) общеобразовательных учреждениях (на начало учебного года) </t>
  </si>
  <si>
    <t>Численность студентов образовательных учреждений среднего профессионального образования (на начало учебного года)</t>
  </si>
  <si>
    <t>Выпуск специалистов:</t>
  </si>
  <si>
    <t>Выпуск специалистов образовательными учреждениями среднего профессионального образования</t>
  </si>
  <si>
    <t>Обеспеченность</t>
  </si>
  <si>
    <t xml:space="preserve">Обеспеченность: </t>
  </si>
  <si>
    <t>больничными койками на 10 000 человек населения</t>
  </si>
  <si>
    <t xml:space="preserve"> коек </t>
  </si>
  <si>
    <t>общедоступными  библиотеками</t>
  </si>
  <si>
    <t>учрежд. на 100 тыс.населения</t>
  </si>
  <si>
    <t>учреждениями культурно-досугового типа</t>
  </si>
  <si>
    <t>дошкольными образовательными учреждениями</t>
  </si>
  <si>
    <t>мощностью амбулаторно-поликлинических учреждений на 10 000 человек населения</t>
  </si>
  <si>
    <t>на конец года; посещений в смену</t>
  </si>
  <si>
    <t>Численность:</t>
  </si>
  <si>
    <t>врачей всех специальностей</t>
  </si>
  <si>
    <t>на конец года; тыс. чел.</t>
  </si>
  <si>
    <t>среднего медицинского персонала</t>
  </si>
  <si>
    <t xml:space="preserve">Число выбывших с территории региона </t>
  </si>
  <si>
    <t>Число прибывших на территорию региона</t>
  </si>
  <si>
    <t>Среднесписочная численность работников организаций (без внешних совместителей)</t>
  </si>
  <si>
    <t>Безвозмездные поступления</t>
  </si>
  <si>
    <t>дотации на выравнивание бюджетной обеспеченности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</si>
  <si>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</si>
  <si>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</si>
  <si>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</si>
  <si>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</si>
  <si>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</si>
  <si>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культура, кинематография</t>
  </si>
  <si>
    <t>здравоохранение</t>
  </si>
  <si>
    <t>физическая культура и спорт</t>
  </si>
  <si>
    <t>мест на 1000 детей в возрасте 1-6 лет</t>
  </si>
  <si>
    <t>Единица измерения</t>
  </si>
  <si>
    <t>отчет</t>
  </si>
  <si>
    <t>1. Население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</si>
  <si>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</si>
  <si>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</si>
  <si>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</si>
  <si>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</si>
  <si>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</si>
  <si>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</si>
  <si>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</si>
  <si>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</si>
  <si>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Коэффициент естественного прироста населения</t>
  </si>
  <si>
    <t>на 1000 человек населения</t>
  </si>
  <si>
    <t>Коэффициент миграционного прироста</t>
  </si>
  <si>
    <t>на 10 000 человек населения</t>
  </si>
  <si>
    <t>2. Производство товаров и услуг</t>
  </si>
  <si>
    <t xml:space="preserve">млн. руб. </t>
  </si>
  <si>
    <t xml:space="preserve">Индекс промышленного производства </t>
  </si>
  <si>
    <t>Добыча полезных ископаемых</t>
  </si>
  <si>
    <t>Обрабатывающие производства</t>
  </si>
  <si>
    <t>Налоговые и неналоговые доходы - всего</t>
  </si>
  <si>
    <t>Индекс потребительских цен на продукцию общественного питания за период с начала года</t>
  </si>
  <si>
    <t>Число малых и средних предприятий, включая микропредприятия (на конец года)</t>
  </si>
  <si>
    <t>Объем отгруженных товаров собственного производства, выполненных работ и услуг собственными силами - РАЗДЕЛ B: Добыча полезных ископаемых</t>
  </si>
  <si>
    <t>Индекс-дефлятор отрузки - РАЗДЕЛ B: Добыча полезных ископаемых</t>
  </si>
  <si>
    <t>Индекс производства - РАЗДЕЛ B: Добыча полезных ископаемых</t>
  </si>
  <si>
    <t>Объем отгруженных товаров собственного производства, выполненных работ и услуг собственными силами - 07 Добыча металлических руд</t>
  </si>
  <si>
    <t>Индекс-дефлятор отрузки - 07 Добыча металлических руд</t>
  </si>
  <si>
    <t>Индекс производства - 07 Добыча металлических руд</t>
  </si>
  <si>
    <t>Объем отгруженных товаров собственного производства, выполненных работ и услуг собственными силами - 08 Добыча прочих полезных ископаемых</t>
  </si>
  <si>
    <t>Индекс-дефлятор отрузки - 08 Добыча прочих полезных ископаемых</t>
  </si>
  <si>
    <t>Индекс производства - 08 Добыча прочих полезных ископаемых</t>
  </si>
  <si>
    <t>Объем отгруженных товаров собственного производства, выполненных работ и услуг собственными силами - РАЗДЕЛ C: Обрабатывающие производства</t>
  </si>
  <si>
    <t>Индекс-дефлятор отрузки - РАЗДЕЛ C: Обрабатывающие производства</t>
  </si>
  <si>
    <t>Индекс производства - РАЗДЕЛ C: Обрабатывающие производства</t>
  </si>
  <si>
    <t>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</si>
  <si>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- РАЗДЕЛ E: Водоснабжение; водоотведение, организация сбора и утилизации отходов, деятельность по ликвидации загрязнений</t>
  </si>
  <si>
    <t>Индекс-дефлятор отгрузки - РАЗДЕЛ E: Водоснабжение; водоотведение, организация сбора и утилизации отходов, деятельность по ликвидации загрязнений</t>
  </si>
  <si>
    <t>Индекс производства - РАЗДЕЛ E: Водоснабжение; водоотведение, организация сбора и утилизации отходов, деятельность по ликвидации загрязнений</t>
  </si>
  <si>
    <t>Водоснабжение; водоотведение, организация сбора и утилизации отходов, деятельность по ликвидации загрязнений</t>
  </si>
  <si>
    <t>базовый</t>
  </si>
  <si>
    <t>целевой</t>
  </si>
  <si>
    <t>1 вариант</t>
  </si>
  <si>
    <t>2 вариант</t>
  </si>
  <si>
    <t>3 вариант</t>
  </si>
  <si>
    <t xml:space="preserve"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 </t>
  </si>
  <si>
    <t>Индекс-дефлятор отгрузки - РАЗДЕЛ D: Обеспечение электрической энергией, газом и паром; кондиционирование воздуха</t>
  </si>
  <si>
    <t>Индекс производства - РАЗДЕЛ D: Обеспечение электрической энергией, газом и паром; кондиционирование воздуха</t>
  </si>
  <si>
    <t>Картофель</t>
  </si>
  <si>
    <t>Культуры зерновые</t>
  </si>
  <si>
    <t>Овощи</t>
  </si>
  <si>
    <t>2.1. Промышленное производство (BCDE)</t>
  </si>
  <si>
    <t>2.2. Сельское хозяйство</t>
  </si>
  <si>
    <t>4. Малое и среднее предпринимательство, включая микропредприятия</t>
  </si>
  <si>
    <t>5. Инвестиции</t>
  </si>
  <si>
    <t>6. Бюджет муниципального образования Республики Хакасия ( без учета территориальных внебюджетных фондов)</t>
  </si>
  <si>
    <t>Доходы местного бюджета  - всего</t>
  </si>
  <si>
    <t>Налоговые доходы местного бюджета  - всего</t>
  </si>
  <si>
    <t xml:space="preserve">субсидии </t>
  </si>
  <si>
    <t xml:space="preserve">субвенции </t>
  </si>
  <si>
    <t xml:space="preserve">дотации </t>
  </si>
  <si>
    <t>Расходы местного бюджета  - всего</t>
  </si>
  <si>
    <t>обслуживание  муниципального долга</t>
  </si>
  <si>
    <t xml:space="preserve">      Дефицит(-),профицит(+) местного бюджета </t>
  </si>
  <si>
    <t>Муниципальный долг</t>
  </si>
  <si>
    <t xml:space="preserve">2.3. Производство важнейших видов продукции в натуральном выражении </t>
  </si>
  <si>
    <t>7. Труд и занятость</t>
  </si>
  <si>
    <t>8. Развитие социальной сферы</t>
  </si>
  <si>
    <t>Привлеченные средства, из них:</t>
  </si>
  <si>
    <t xml:space="preserve">          кредиты банков</t>
  </si>
  <si>
    <t xml:space="preserve">          в том числе кредиты иностранных банков</t>
  </si>
  <si>
    <t xml:space="preserve">    федеральный бюджет</t>
  </si>
  <si>
    <t xml:space="preserve">    бюджеты субъектов Российской Федерации</t>
  </si>
  <si>
    <t xml:space="preserve">    из местных бюджетов</t>
  </si>
  <si>
    <t>2.4. Строительство</t>
  </si>
  <si>
    <t>Темп роста фонда заработной платы работников организаций</t>
  </si>
  <si>
    <t>рублей</t>
  </si>
  <si>
    <t>Индекс-дефлятор</t>
  </si>
  <si>
    <t>госпошлина</t>
  </si>
  <si>
    <t>средства массовой информации</t>
  </si>
  <si>
    <t>национальная оборона</t>
  </si>
  <si>
    <t>Оценка</t>
  </si>
  <si>
    <t>Численность населения (на 1 января года)</t>
  </si>
  <si>
    <t>Численность населения трудоспособного возраста  (на 1 января года)</t>
  </si>
  <si>
    <t>Численность населения старше трудоспособного возраста  (на 1 января года)</t>
  </si>
  <si>
    <t>Индекс физического объема оборота розничной торговли</t>
  </si>
  <si>
    <t>Индекс физического объема платных услуг населению</t>
  </si>
  <si>
    <t>Численность рабочей силы</t>
  </si>
  <si>
    <t>Численность занятых в экономике – всего, в том числе по разделам ОКВЭД:</t>
  </si>
  <si>
    <t>Численность населения в трудоспособном возрасте, не занятого в экономике – всего, в том числе:</t>
  </si>
  <si>
    <t xml:space="preserve">       сельское, лесное хозяйство, охота, рыболовство и рыбоводство</t>
  </si>
  <si>
    <t xml:space="preserve">       добыча полезных ископаемых</t>
  </si>
  <si>
    <t xml:space="preserve">      обрабатывающие производства</t>
  </si>
  <si>
    <t xml:space="preserve">      обеспечение электрической энергией, газом и паром; кондиционирование воздуха</t>
  </si>
  <si>
    <t xml:space="preserve">       водоснабжение; водоотведение, организация сбора и утилизации отходов, деятельность по ликвидации загрязнений</t>
  </si>
  <si>
    <t xml:space="preserve">      строительство</t>
  </si>
  <si>
    <t xml:space="preserve">      торговля оптовая и розничная; ремонт автотранспортных средств и мотоциклов</t>
  </si>
  <si>
    <t xml:space="preserve">      транспортировка и хранение</t>
  </si>
  <si>
    <t xml:space="preserve">      деятельность гостиниц и предприятий общественного питания</t>
  </si>
  <si>
    <t xml:space="preserve">      деятельность в области информации и связи</t>
  </si>
  <si>
    <t xml:space="preserve">      деятельность финансовая и страховая</t>
  </si>
  <si>
    <t xml:space="preserve">      деятельность по операциям с недвижимым имуществом</t>
  </si>
  <si>
    <t xml:space="preserve">       деятельность профессиональная, научная и техническая</t>
  </si>
  <si>
    <t xml:space="preserve">      деятельность административная и сопутствующие дополнительные услуги</t>
  </si>
  <si>
    <t xml:space="preserve">      государственное управление и обеспечение военной безопасности; социальное обеспечение</t>
  </si>
  <si>
    <t xml:space="preserve">     образование</t>
  </si>
  <si>
    <t xml:space="preserve">      деятельность в области здравоохранения и социальных услуг</t>
  </si>
  <si>
    <t xml:space="preserve">       деятельность в области культуры, спорта, организации досуга и развлечений</t>
  </si>
  <si>
    <t xml:space="preserve">       прочие виды экономической деятельности</t>
  </si>
  <si>
    <t xml:space="preserve">       численность учащихся трудоспособного возраста, обучающихся с отрывом от производства</t>
  </si>
  <si>
    <t xml:space="preserve">      численность безработных, зарегистрированных в органах службы занятости</t>
  </si>
  <si>
    <t xml:space="preserve">       численность прочих категорий населения в трудоспособном возрасте, не занятого в экономике</t>
  </si>
  <si>
    <t>Номинальная начисленная среднемесяная заработная плата работников организаций в целом по муниципальному образованию</t>
  </si>
  <si>
    <t>Темп роста номинальной начисленной среднемесяной заработной платы в целом  по муниципальному образованию</t>
  </si>
  <si>
    <t>Реальная заработная плата работников организаций</t>
  </si>
  <si>
    <t>% г/г</t>
  </si>
  <si>
    <t>Уровень безработицы (по методологии МОТ)</t>
  </si>
  <si>
    <t>% к рабочей силе</t>
  </si>
  <si>
    <t>человек</t>
  </si>
  <si>
    <t>консерва тивный</t>
  </si>
  <si>
    <t>Прогноз</t>
  </si>
  <si>
    <t>Показатель</t>
  </si>
  <si>
    <t>Отчет*</t>
  </si>
  <si>
    <t>Численность населения (в среднегодовом исчислении)</t>
  </si>
  <si>
    <t xml:space="preserve">Объем отгруженных товаров собственного производства, выполненных работ и услуг собственными силами </t>
  </si>
  <si>
    <t>ПРОГНОЗ</t>
  </si>
  <si>
    <t xml:space="preserve"> социально-экономического развития Усть-Абаканского муниципального района  Республики Хакасия </t>
  </si>
  <si>
    <t>ПРОЕКТ</t>
  </si>
  <si>
    <t xml:space="preserve">на 2026 год и плановый период 2027-2028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</si>
</sst>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00"/>
    <numFmt numFmtId="167" formatCode="#,##0.000"/>
  </numFmts>
  <fonts count="16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2"/>
      <name val="Arial Cyr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sz val="10"/>
      <name val="Arial Cyr"/>
    </font>
    <font>
      <sz val="14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Continuous" vertical="center" wrapText="1"/>
    </xf>
    <xf numFmtId="0" fontId="1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ill="1"/>
    <xf numFmtId="0" fontId="3" fillId="0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 applyProtection="1">
      <alignment vertical="center" wrapText="1" shrinkToFi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 shrinkToFit="1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0" fillId="0" borderId="1" xfId="0" applyFill="1" applyBorder="1"/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 applyProtection="1">
      <alignment horizontal="center" vertical="top" wrapText="1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2" borderId="1" xfId="0" applyFont="1" applyFill="1" applyBorder="1"/>
    <xf numFmtId="0" fontId="3" fillId="0" borderId="1" xfId="0" applyFont="1" applyFill="1" applyBorder="1" applyAlignment="1">
      <alignment horizontal="justify" vertical="center" wrapText="1"/>
    </xf>
    <xf numFmtId="16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2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6" fontId="4" fillId="3" borderId="1" xfId="0" applyNumberFormat="1" applyFont="1" applyFill="1" applyBorder="1"/>
    <xf numFmtId="164" fontId="0" fillId="0" borderId="0" xfId="0" applyNumberFormat="1" applyFill="1"/>
    <xf numFmtId="0" fontId="0" fillId="2" borderId="0" xfId="0" applyFill="1"/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167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4" fontId="3" fillId="3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165" fontId="2" fillId="3" borderId="1" xfId="0" applyNumberFormat="1" applyFont="1" applyFill="1" applyBorder="1" applyAlignment="1" applyProtection="1">
      <alignment horizontal="center" vertical="center" wrapText="1"/>
    </xf>
    <xf numFmtId="165" fontId="4" fillId="3" borderId="2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2" fillId="0" borderId="0" xfId="2" quotePrefix="1" applyFont="1" applyFill="1" applyBorder="1" applyAlignment="1">
      <alignment horizontal="right" wrapText="1"/>
    </xf>
    <xf numFmtId="0" fontId="13" fillId="0" borderId="0" xfId="2" quotePrefix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/>
    <xf numFmtId="0" fontId="1" fillId="0" borderId="3" xfId="0" applyFont="1" applyFill="1" applyBorder="1" applyAlignment="1" applyProtection="1">
      <alignment horizontal="center" vertical="center" wrapText="1"/>
    </xf>
    <xf numFmtId="0" fontId="10" fillId="2" borderId="0" xfId="2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Fill="1"/>
    <xf numFmtId="164" fontId="3" fillId="0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6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/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4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/>
    <xf numFmtId="0" fontId="1" fillId="0" borderId="4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right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88"/>
  <sheetViews>
    <sheetView tabSelected="1" zoomScaleNormal="100" workbookViewId="0">
      <selection activeCell="T5" sqref="T5"/>
    </sheetView>
  </sheetViews>
  <sheetFormatPr defaultColWidth="8.85546875" defaultRowHeight="12.75" x14ac:dyDescent="0.2"/>
  <cols>
    <col min="1" max="1" width="62.140625" style="9" customWidth="1"/>
    <col min="2" max="2" width="16.7109375" style="9" customWidth="1"/>
    <col min="3" max="3" width="0.140625" style="9" hidden="1" customWidth="1"/>
    <col min="4" max="4" width="0.28515625" style="9" hidden="1" customWidth="1"/>
    <col min="5" max="5" width="0.140625" style="9" hidden="1" customWidth="1"/>
    <col min="6" max="6" width="13.42578125" style="9" hidden="1" customWidth="1"/>
    <col min="7" max="7" width="15" style="9" customWidth="1"/>
    <col min="8" max="9" width="13.42578125" style="9" customWidth="1"/>
    <col min="10" max="10" width="15" style="9" customWidth="1"/>
    <col min="11" max="11" width="13.28515625" style="9" customWidth="1"/>
    <col min="12" max="12" width="0.42578125" style="9" hidden="1" customWidth="1"/>
    <col min="13" max="14" width="13.7109375" style="9" customWidth="1"/>
    <col min="15" max="15" width="13.7109375" style="9" hidden="1" customWidth="1"/>
    <col min="16" max="17" width="13.7109375" style="9" customWidth="1"/>
    <col min="18" max="19" width="8.85546875" style="9"/>
    <col min="20" max="20" width="23.5703125" style="9" customWidth="1"/>
    <col min="21" max="21" width="16" style="9" customWidth="1"/>
    <col min="22" max="22" width="19.28515625" style="9" customWidth="1"/>
    <col min="23" max="27" width="8.85546875" style="9"/>
    <col min="28" max="28" width="8.85546875" style="9" customWidth="1"/>
    <col min="29" max="29" width="8.85546875" style="9"/>
    <col min="30" max="31" width="8.85546875" style="9" customWidth="1"/>
    <col min="32" max="16384" width="8.85546875" style="9"/>
  </cols>
  <sheetData>
    <row r="2" spans="1:21" ht="29.25" customHeight="1" x14ac:dyDescent="0.3">
      <c r="A2" s="153" t="s">
        <v>218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21" ht="33" customHeight="1" x14ac:dyDescent="0.35">
      <c r="A3" s="154" t="s">
        <v>219</v>
      </c>
      <c r="B3" s="155"/>
      <c r="C3" s="155"/>
      <c r="D3" s="155"/>
      <c r="E3" s="155"/>
      <c r="F3" s="155"/>
      <c r="G3" s="155"/>
      <c r="H3" s="155"/>
      <c r="I3" s="155"/>
      <c r="J3" s="156"/>
      <c r="K3" s="156"/>
      <c r="L3" s="156"/>
      <c r="M3" s="156"/>
      <c r="N3" s="156"/>
      <c r="O3" s="156"/>
      <c r="P3" s="156"/>
      <c r="Q3" s="156"/>
    </row>
    <row r="4" spans="1:21" ht="25.5" customHeight="1" x14ac:dyDescent="0.35">
      <c r="A4" s="154" t="s">
        <v>221</v>
      </c>
      <c r="B4" s="155"/>
      <c r="C4" s="155"/>
      <c r="D4" s="155"/>
      <c r="E4" s="155"/>
      <c r="F4" s="155"/>
      <c r="G4" s="155"/>
      <c r="H4" s="155"/>
      <c r="I4" s="155"/>
      <c r="J4" s="156"/>
      <c r="K4" s="156"/>
      <c r="L4" s="156"/>
      <c r="M4" s="156"/>
      <c r="N4" s="156"/>
      <c r="O4" s="156"/>
      <c r="P4" s="156"/>
      <c r="Q4" s="156"/>
    </row>
    <row r="5" spans="1:21" ht="21" customHeight="1" x14ac:dyDescent="0.35">
      <c r="A5" s="161" t="s">
        <v>220</v>
      </c>
      <c r="B5" s="162"/>
      <c r="C5" s="162"/>
      <c r="D5" s="162"/>
      <c r="E5" s="162"/>
      <c r="F5" s="162"/>
      <c r="G5" s="162"/>
      <c r="H5" s="162"/>
      <c r="I5" s="162"/>
      <c r="J5" s="163"/>
      <c r="K5" s="163"/>
      <c r="L5" s="163"/>
      <c r="M5" s="163"/>
      <c r="N5" s="163"/>
      <c r="O5" s="163"/>
      <c r="P5" s="163"/>
      <c r="Q5" s="163"/>
    </row>
    <row r="6" spans="1:21" x14ac:dyDescent="0.2">
      <c r="A6" s="9" t="s">
        <v>54</v>
      </c>
    </row>
    <row r="7" spans="1:21" ht="50.25" customHeight="1" x14ac:dyDescent="0.2">
      <c r="A7" s="148" t="s">
        <v>214</v>
      </c>
      <c r="B7" s="148" t="s">
        <v>93</v>
      </c>
      <c r="C7" s="1" t="s">
        <v>94</v>
      </c>
      <c r="D7" s="34" t="s">
        <v>215</v>
      </c>
      <c r="E7" s="32" t="s">
        <v>215</v>
      </c>
      <c r="F7" s="100" t="s">
        <v>215</v>
      </c>
      <c r="G7" s="110" t="s">
        <v>215</v>
      </c>
      <c r="H7" s="128" t="s">
        <v>215</v>
      </c>
      <c r="I7" s="2" t="s">
        <v>174</v>
      </c>
      <c r="J7" s="157" t="s">
        <v>213</v>
      </c>
      <c r="K7" s="164"/>
      <c r="L7" s="164"/>
      <c r="M7" s="164"/>
      <c r="N7" s="164"/>
      <c r="O7" s="164"/>
      <c r="P7" s="164"/>
      <c r="Q7" s="165"/>
    </row>
    <row r="8" spans="1:21" ht="22.5" customHeight="1" x14ac:dyDescent="0.2">
      <c r="A8" s="149"/>
      <c r="B8" s="149"/>
      <c r="C8" s="148">
        <v>2019</v>
      </c>
      <c r="D8" s="148">
        <v>2020</v>
      </c>
      <c r="E8" s="148">
        <v>2021</v>
      </c>
      <c r="F8" s="148">
        <v>2022</v>
      </c>
      <c r="G8" s="148">
        <v>2023</v>
      </c>
      <c r="H8" s="148">
        <v>2024</v>
      </c>
      <c r="I8" s="148">
        <v>2025</v>
      </c>
      <c r="J8" s="157">
        <v>2026</v>
      </c>
      <c r="K8" s="158"/>
      <c r="L8" s="159"/>
      <c r="M8" s="157">
        <v>2027</v>
      </c>
      <c r="N8" s="158"/>
      <c r="O8" s="159"/>
      <c r="P8" s="160">
        <v>2028</v>
      </c>
      <c r="Q8" s="159"/>
    </row>
    <row r="9" spans="1:21" ht="60.7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" t="s">
        <v>212</v>
      </c>
      <c r="K9" s="1" t="s">
        <v>133</v>
      </c>
      <c r="L9" s="1" t="s">
        <v>134</v>
      </c>
      <c r="M9" s="1" t="s">
        <v>212</v>
      </c>
      <c r="N9" s="1" t="s">
        <v>133</v>
      </c>
      <c r="O9" s="1" t="s">
        <v>134</v>
      </c>
      <c r="P9" s="1" t="s">
        <v>212</v>
      </c>
      <c r="Q9" s="1" t="s">
        <v>133</v>
      </c>
    </row>
    <row r="10" spans="1:21" ht="42" customHeight="1" x14ac:dyDescent="0.2">
      <c r="A10" s="150"/>
      <c r="B10" s="150"/>
      <c r="C10" s="150"/>
      <c r="D10" s="152"/>
      <c r="E10" s="150"/>
      <c r="F10" s="150"/>
      <c r="G10" s="150"/>
      <c r="H10" s="150"/>
      <c r="I10" s="150"/>
      <c r="J10" s="1" t="s">
        <v>135</v>
      </c>
      <c r="K10" s="1" t="s">
        <v>136</v>
      </c>
      <c r="L10" s="1" t="s">
        <v>137</v>
      </c>
      <c r="M10" s="1" t="s">
        <v>135</v>
      </c>
      <c r="N10" s="1" t="s">
        <v>136</v>
      </c>
      <c r="O10" s="1" t="s">
        <v>137</v>
      </c>
      <c r="P10" s="1" t="s">
        <v>135</v>
      </c>
      <c r="Q10" s="1" t="s">
        <v>136</v>
      </c>
    </row>
    <row r="11" spans="1:21" ht="18.75" x14ac:dyDescent="0.2">
      <c r="A11" s="3" t="s">
        <v>95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21" ht="37.5" customHeight="1" x14ac:dyDescent="0.2">
      <c r="A12" s="16" t="s">
        <v>216</v>
      </c>
      <c r="B12" s="11" t="s">
        <v>96</v>
      </c>
      <c r="C12" s="35">
        <v>41.527999999999999</v>
      </c>
      <c r="D12" s="57">
        <v>41.351999999999997</v>
      </c>
      <c r="E12" s="99">
        <v>41.122999999999998</v>
      </c>
      <c r="F12" s="114">
        <v>47.402000000000001</v>
      </c>
      <c r="G12" s="114">
        <v>46.703000000000003</v>
      </c>
      <c r="H12" s="114">
        <v>46.600999999999999</v>
      </c>
      <c r="I12" s="114">
        <v>46.637999999999998</v>
      </c>
      <c r="J12" s="114">
        <v>46.29</v>
      </c>
      <c r="K12" s="114">
        <v>46.497</v>
      </c>
      <c r="L12" s="114"/>
      <c r="M12" s="114">
        <v>45.99</v>
      </c>
      <c r="N12" s="114">
        <v>46.441000000000003</v>
      </c>
      <c r="O12" s="114"/>
      <c r="P12" s="114">
        <v>45.747999999999998</v>
      </c>
      <c r="Q12" s="114">
        <v>46.317999999999998</v>
      </c>
    </row>
    <row r="13" spans="1:21" ht="18.75" x14ac:dyDescent="0.25">
      <c r="A13" s="16" t="s">
        <v>175</v>
      </c>
      <c r="B13" s="11" t="s">
        <v>96</v>
      </c>
      <c r="C13" s="35">
        <v>41.680999999999997</v>
      </c>
      <c r="D13" s="57">
        <v>41.375</v>
      </c>
      <c r="E13" s="99">
        <v>41.329000000000001</v>
      </c>
      <c r="F13" s="114">
        <v>47.750999999999998</v>
      </c>
      <c r="G13" s="114">
        <v>47.052</v>
      </c>
      <c r="H13" s="114">
        <v>46.353999999999999</v>
      </c>
      <c r="I13" s="114">
        <v>46.847000000000001</v>
      </c>
      <c r="J13" s="114">
        <v>46.429000000000002</v>
      </c>
      <c r="K13" s="114">
        <v>46.429000000000002</v>
      </c>
      <c r="L13" s="114"/>
      <c r="M13" s="114">
        <v>46.151000000000003</v>
      </c>
      <c r="N13" s="114">
        <v>46.564999999999998</v>
      </c>
      <c r="O13" s="114"/>
      <c r="P13" s="114">
        <v>45.829000000000001</v>
      </c>
      <c r="Q13" s="114">
        <v>46.317999999999998</v>
      </c>
      <c r="T13" s="106"/>
      <c r="U13" s="106"/>
    </row>
    <row r="14" spans="1:21" ht="37.5" x14ac:dyDescent="0.2">
      <c r="A14" s="16" t="s">
        <v>176</v>
      </c>
      <c r="B14" s="11" t="s">
        <v>96</v>
      </c>
      <c r="C14" s="21">
        <v>22.067</v>
      </c>
      <c r="D14" s="58">
        <v>22.117000000000001</v>
      </c>
      <c r="E14" s="58">
        <v>22.145</v>
      </c>
      <c r="F14" s="21">
        <v>27.265999999999998</v>
      </c>
      <c r="G14" s="21">
        <v>26.396999999999998</v>
      </c>
      <c r="H14" s="21">
        <v>26.195</v>
      </c>
      <c r="I14" s="21">
        <v>26.3</v>
      </c>
      <c r="J14" s="21">
        <v>26.2</v>
      </c>
      <c r="K14" s="21">
        <v>26.2</v>
      </c>
      <c r="L14" s="21"/>
      <c r="M14" s="21">
        <v>26.2</v>
      </c>
      <c r="N14" s="21">
        <v>26.2</v>
      </c>
      <c r="O14" s="21"/>
      <c r="P14" s="21">
        <v>26.1</v>
      </c>
      <c r="Q14" s="21">
        <v>26.1</v>
      </c>
    </row>
    <row r="15" spans="1:21" ht="42.75" customHeight="1" x14ac:dyDescent="0.2">
      <c r="A15" s="16" t="s">
        <v>177</v>
      </c>
      <c r="B15" s="11" t="s">
        <v>96</v>
      </c>
      <c r="C15" s="21">
        <v>10.151</v>
      </c>
      <c r="D15" s="58">
        <v>10.079000000000001</v>
      </c>
      <c r="E15" s="58">
        <v>10.17</v>
      </c>
      <c r="F15" s="21">
        <v>9.8369999999999997</v>
      </c>
      <c r="G15" s="21">
        <v>10.427</v>
      </c>
      <c r="H15" s="21">
        <v>10.291</v>
      </c>
      <c r="I15" s="21">
        <v>10.1</v>
      </c>
      <c r="J15" s="27">
        <v>10.1</v>
      </c>
      <c r="K15" s="27">
        <v>10.1</v>
      </c>
      <c r="L15" s="27"/>
      <c r="M15" s="27">
        <v>10.1</v>
      </c>
      <c r="N15" s="27">
        <v>10.1</v>
      </c>
      <c r="O15" s="27"/>
      <c r="P15" s="27">
        <v>10.199999999999999</v>
      </c>
      <c r="Q15" s="27">
        <v>10.199999999999999</v>
      </c>
    </row>
    <row r="16" spans="1:21" ht="43.5" customHeight="1" x14ac:dyDescent="0.2">
      <c r="A16" s="16" t="s">
        <v>98</v>
      </c>
      <c r="B16" s="11" t="s">
        <v>99</v>
      </c>
      <c r="C16" s="37">
        <v>71.099999999999994</v>
      </c>
      <c r="D16" s="101">
        <v>68</v>
      </c>
      <c r="E16" s="101">
        <v>67</v>
      </c>
      <c r="F16" s="115">
        <v>69</v>
      </c>
      <c r="G16" s="115">
        <v>69</v>
      </c>
      <c r="H16" s="115">
        <v>68</v>
      </c>
      <c r="I16" s="115">
        <v>69</v>
      </c>
      <c r="J16" s="27">
        <v>69</v>
      </c>
      <c r="K16" s="27">
        <v>69</v>
      </c>
      <c r="L16" s="27">
        <v>69</v>
      </c>
      <c r="M16" s="27">
        <v>69</v>
      </c>
      <c r="N16" s="27">
        <v>69</v>
      </c>
      <c r="O16" s="27">
        <v>69</v>
      </c>
      <c r="P16" s="27">
        <v>69</v>
      </c>
      <c r="Q16" s="27">
        <v>69</v>
      </c>
    </row>
    <row r="17" spans="1:24" ht="90.75" customHeight="1" x14ac:dyDescent="0.2">
      <c r="A17" s="16" t="s">
        <v>100</v>
      </c>
      <c r="B17" s="11" t="s">
        <v>101</v>
      </c>
      <c r="C17" s="21">
        <v>10.199999999999999</v>
      </c>
      <c r="D17" s="58">
        <v>9.1999999999999993</v>
      </c>
      <c r="E17" s="58">
        <v>10.4</v>
      </c>
      <c r="F17" s="27">
        <v>8.4</v>
      </c>
      <c r="G17" s="27">
        <v>8.5</v>
      </c>
      <c r="H17" s="27">
        <v>8.9</v>
      </c>
      <c r="I17" s="27">
        <v>8.8000000000000007</v>
      </c>
      <c r="J17" s="27">
        <v>8.6</v>
      </c>
      <c r="K17" s="27">
        <v>8.9</v>
      </c>
      <c r="L17" s="27"/>
      <c r="M17" s="27">
        <v>8.6999999999999993</v>
      </c>
      <c r="N17" s="27">
        <v>8.65</v>
      </c>
      <c r="O17" s="27"/>
      <c r="P17" s="27">
        <v>8.6999999999999993</v>
      </c>
      <c r="Q17" s="27">
        <v>8.75</v>
      </c>
    </row>
    <row r="18" spans="1:24" ht="75" x14ac:dyDescent="0.2">
      <c r="A18" s="16" t="s">
        <v>102</v>
      </c>
      <c r="B18" s="11" t="s">
        <v>103</v>
      </c>
      <c r="C18" s="21">
        <v>12.6</v>
      </c>
      <c r="D18" s="58">
        <v>13.7</v>
      </c>
      <c r="E18" s="58">
        <v>15.2</v>
      </c>
      <c r="F18" s="27">
        <v>10.8</v>
      </c>
      <c r="G18" s="27">
        <v>11.6</v>
      </c>
      <c r="H18" s="27">
        <v>12.3</v>
      </c>
      <c r="I18" s="27">
        <v>12.4</v>
      </c>
      <c r="J18" s="27">
        <v>12.42</v>
      </c>
      <c r="K18" s="27">
        <v>12</v>
      </c>
      <c r="L18" s="27"/>
      <c r="M18" s="27">
        <v>12.43</v>
      </c>
      <c r="N18" s="27">
        <v>12.45</v>
      </c>
      <c r="O18" s="27"/>
      <c r="P18" s="27">
        <v>12.41</v>
      </c>
      <c r="Q18" s="27">
        <v>12.4</v>
      </c>
    </row>
    <row r="19" spans="1:24" ht="56.25" x14ac:dyDescent="0.2">
      <c r="A19" s="16" t="s">
        <v>104</v>
      </c>
      <c r="B19" s="11" t="s">
        <v>105</v>
      </c>
      <c r="C19" s="21">
        <v>-2.4</v>
      </c>
      <c r="D19" s="58">
        <v>-4.5</v>
      </c>
      <c r="E19" s="79">
        <v>-4.8</v>
      </c>
      <c r="F19" s="27">
        <v>-2.4</v>
      </c>
      <c r="G19" s="27">
        <v>-3.1</v>
      </c>
      <c r="H19" s="27">
        <v>-3.4</v>
      </c>
      <c r="I19" s="27">
        <v>-3.6</v>
      </c>
      <c r="J19" s="27">
        <v>-3.82</v>
      </c>
      <c r="K19" s="27">
        <v>-3.1</v>
      </c>
      <c r="L19" s="27"/>
      <c r="M19" s="27">
        <v>-3.73</v>
      </c>
      <c r="N19" s="27">
        <v>-3.8</v>
      </c>
      <c r="O19" s="27"/>
      <c r="P19" s="27">
        <v>-3.71</v>
      </c>
      <c r="Q19" s="27">
        <v>-3.65</v>
      </c>
    </row>
    <row r="20" spans="1:24" ht="18.75" x14ac:dyDescent="0.2">
      <c r="A20" s="16" t="s">
        <v>80</v>
      </c>
      <c r="B20" s="11" t="s">
        <v>42</v>
      </c>
      <c r="C20" s="21">
        <v>1.72</v>
      </c>
      <c r="D20" s="58">
        <v>1.9490000000000001</v>
      </c>
      <c r="E20" s="61">
        <v>1.72</v>
      </c>
      <c r="F20" s="114">
        <v>1.2789999999999999</v>
      </c>
      <c r="G20" s="114">
        <v>1.24</v>
      </c>
      <c r="H20" s="114">
        <v>2.008</v>
      </c>
      <c r="I20" s="114">
        <v>1.4</v>
      </c>
      <c r="J20" s="114">
        <v>1.6</v>
      </c>
      <c r="K20" s="114">
        <v>1.76</v>
      </c>
      <c r="L20" s="114"/>
      <c r="M20" s="114">
        <v>1.55</v>
      </c>
      <c r="N20" s="114">
        <v>1.55</v>
      </c>
      <c r="O20" s="114"/>
      <c r="P20" s="114">
        <v>1.83</v>
      </c>
      <c r="Q20" s="114">
        <v>1.87</v>
      </c>
    </row>
    <row r="21" spans="1:24" ht="18.75" x14ac:dyDescent="0.2">
      <c r="A21" s="16" t="s">
        <v>79</v>
      </c>
      <c r="B21" s="11" t="s">
        <v>42</v>
      </c>
      <c r="C21" s="21">
        <v>1.9259999999999999</v>
      </c>
      <c r="D21" s="58">
        <v>1.8069999999999999</v>
      </c>
      <c r="E21" s="61">
        <v>1.9330000000000001</v>
      </c>
      <c r="F21" s="114">
        <v>1.867</v>
      </c>
      <c r="G21" s="114">
        <v>1.7949999999999999</v>
      </c>
      <c r="H21" s="114">
        <v>1.3520000000000001</v>
      </c>
      <c r="I21" s="114">
        <v>1.65</v>
      </c>
      <c r="J21" s="114">
        <v>1.7</v>
      </c>
      <c r="K21" s="114">
        <v>1.48</v>
      </c>
      <c r="L21" s="114"/>
      <c r="M21" s="114">
        <v>1.7</v>
      </c>
      <c r="N21" s="114">
        <v>1.62</v>
      </c>
      <c r="O21" s="114"/>
      <c r="P21" s="114">
        <v>1.82</v>
      </c>
      <c r="Q21" s="114">
        <v>1.7</v>
      </c>
    </row>
    <row r="22" spans="1:24" ht="56.25" x14ac:dyDescent="0.2">
      <c r="A22" s="16" t="s">
        <v>106</v>
      </c>
      <c r="B22" s="11" t="s">
        <v>107</v>
      </c>
      <c r="C22" s="21">
        <v>-49.6</v>
      </c>
      <c r="D22" s="58">
        <v>34.097000000000001</v>
      </c>
      <c r="E22" s="58">
        <v>-51.8</v>
      </c>
      <c r="F22" s="27">
        <v>-124</v>
      </c>
      <c r="G22" s="27">
        <f>(G20-G21)/G12*10000</f>
        <v>-118.83604907607646</v>
      </c>
      <c r="H22" s="21">
        <v>140.77000000000001</v>
      </c>
      <c r="I22" s="21">
        <v>-53.52</v>
      </c>
      <c r="J22" s="21">
        <v>-21.53</v>
      </c>
      <c r="K22" s="21">
        <v>60.2</v>
      </c>
      <c r="L22" s="21"/>
      <c r="M22" s="21">
        <v>-32.43</v>
      </c>
      <c r="N22" s="21">
        <v>-15.06</v>
      </c>
      <c r="O22" s="21"/>
      <c r="P22" s="21">
        <v>2.17</v>
      </c>
      <c r="Q22" s="21">
        <v>36.6</v>
      </c>
    </row>
    <row r="23" spans="1:24" ht="18.75" x14ac:dyDescent="0.2">
      <c r="A23" s="10" t="s">
        <v>108</v>
      </c>
      <c r="B23" s="11"/>
      <c r="C23" s="21"/>
      <c r="D23" s="58"/>
      <c r="E23" s="61"/>
      <c r="F23" s="5"/>
      <c r="G23" s="5"/>
      <c r="H23" s="5"/>
      <c r="I23" s="5"/>
      <c r="J23" s="5"/>
      <c r="K23" s="5"/>
      <c r="L23" s="5"/>
      <c r="M23" s="5"/>
      <c r="N23" s="5"/>
      <c r="O23" s="5"/>
      <c r="P23" s="21"/>
      <c r="Q23" s="21"/>
    </row>
    <row r="24" spans="1:24" ht="18.75" x14ac:dyDescent="0.2">
      <c r="A24" s="10" t="s">
        <v>144</v>
      </c>
      <c r="B24" s="11"/>
      <c r="C24" s="21"/>
      <c r="D24" s="58"/>
      <c r="E24" s="61"/>
      <c r="F24" s="5"/>
      <c r="G24" s="5"/>
      <c r="H24" s="5"/>
      <c r="I24" s="5"/>
      <c r="J24" s="5"/>
      <c r="K24" s="5"/>
      <c r="L24" s="5"/>
      <c r="M24" s="5"/>
      <c r="N24" s="5"/>
      <c r="O24" s="5"/>
      <c r="P24" s="21"/>
      <c r="Q24" s="21"/>
    </row>
    <row r="25" spans="1:24" ht="63.75" customHeight="1" x14ac:dyDescent="0.3">
      <c r="A25" s="16" t="s">
        <v>217</v>
      </c>
      <c r="B25" s="11" t="s">
        <v>109</v>
      </c>
      <c r="C25" s="38">
        <f t="shared" ref="C25:Q25" si="0">C28+C38+C42+C46</f>
        <v>2262.5</v>
      </c>
      <c r="D25" s="59">
        <f t="shared" si="0"/>
        <v>2843.3</v>
      </c>
      <c r="E25" s="62">
        <f t="shared" si="0"/>
        <v>2969.7000000000003</v>
      </c>
      <c r="F25" s="41">
        <f t="shared" si="0"/>
        <v>3013.3999999999996</v>
      </c>
      <c r="G25" s="41">
        <f t="shared" si="0"/>
        <v>3709.2</v>
      </c>
      <c r="H25" s="41">
        <f t="shared" si="0"/>
        <v>5258.2</v>
      </c>
      <c r="I25" s="41">
        <f t="shared" si="0"/>
        <v>8414.4000000000015</v>
      </c>
      <c r="J25" s="41">
        <f t="shared" si="0"/>
        <v>10681.1</v>
      </c>
      <c r="K25" s="41">
        <f t="shared" si="0"/>
        <v>10697.5</v>
      </c>
      <c r="L25" s="41">
        <f t="shared" si="0"/>
        <v>0</v>
      </c>
      <c r="M25" s="41">
        <f t="shared" si="0"/>
        <v>12602.209589999999</v>
      </c>
      <c r="N25" s="41">
        <f t="shared" si="0"/>
        <v>12629.5</v>
      </c>
      <c r="O25" s="41">
        <f t="shared" si="0"/>
        <v>0</v>
      </c>
      <c r="P25" s="41">
        <f t="shared" si="0"/>
        <v>9136.4121321216007</v>
      </c>
      <c r="Q25" s="41">
        <f t="shared" si="0"/>
        <v>9166.3789816000008</v>
      </c>
      <c r="S25" s="95"/>
      <c r="T25" s="129"/>
      <c r="U25" s="94"/>
      <c r="V25" s="94"/>
      <c r="W25" s="94"/>
      <c r="X25" s="94"/>
    </row>
    <row r="26" spans="1:24" ht="93.75" x14ac:dyDescent="0.2">
      <c r="A26" s="16" t="s">
        <v>110</v>
      </c>
      <c r="B26" s="11" t="s">
        <v>28</v>
      </c>
      <c r="C26" s="29">
        <f t="shared" ref="C26:Q26" si="1">C28/C25*C30+C38/C25*C40+C42/C25*C44+C46/C25*C48</f>
        <v>92.884537522612547</v>
      </c>
      <c r="D26" s="60">
        <f t="shared" si="1"/>
        <v>122.15989792495144</v>
      </c>
      <c r="E26" s="60">
        <f t="shared" si="1"/>
        <v>98.761105252740165</v>
      </c>
      <c r="F26" s="29">
        <f t="shared" si="1"/>
        <v>94.224482232539231</v>
      </c>
      <c r="G26" s="29">
        <f t="shared" si="1"/>
        <v>122.01961509370707</v>
      </c>
      <c r="H26" s="29">
        <f t="shared" si="1"/>
        <v>135.76657014121267</v>
      </c>
      <c r="I26" s="29">
        <f t="shared" si="1"/>
        <v>170.71785617676869</v>
      </c>
      <c r="J26" s="29">
        <f t="shared" si="1"/>
        <v>122.54298355224661</v>
      </c>
      <c r="K26" s="29">
        <f t="shared" si="1"/>
        <v>123.12685594004238</v>
      </c>
      <c r="L26" s="29" t="e">
        <f t="shared" si="1"/>
        <v>#DIV/0!</v>
      </c>
      <c r="M26" s="29">
        <f t="shared" si="1"/>
        <v>113.15502237997609</v>
      </c>
      <c r="N26" s="29">
        <f t="shared" si="1"/>
        <v>113.20844074231998</v>
      </c>
      <c r="O26" s="29" t="e">
        <f t="shared" si="1"/>
        <v>#DIV/0!</v>
      </c>
      <c r="P26" s="29">
        <f t="shared" si="1"/>
        <v>74.998037966371896</v>
      </c>
      <c r="Q26" s="29">
        <f t="shared" si="1"/>
        <v>75.099122707837424</v>
      </c>
    </row>
    <row r="27" spans="1:24" ht="18.75" x14ac:dyDescent="0.2">
      <c r="A27" s="10" t="s">
        <v>111</v>
      </c>
      <c r="B27" s="11"/>
      <c r="C27" s="5"/>
      <c r="D27" s="61"/>
      <c r="E27" s="61"/>
      <c r="F27" s="5"/>
      <c r="G27" s="5"/>
      <c r="H27" s="5"/>
      <c r="I27" s="5"/>
      <c r="J27" s="5"/>
      <c r="K27" s="5"/>
      <c r="L27" s="5"/>
      <c r="M27" s="5"/>
      <c r="N27" s="5"/>
      <c r="O27" s="5"/>
      <c r="P27" s="21"/>
      <c r="Q27" s="21"/>
    </row>
    <row r="28" spans="1:24" ht="75" x14ac:dyDescent="0.2">
      <c r="A28" s="16" t="s">
        <v>116</v>
      </c>
      <c r="B28" s="11" t="s">
        <v>109</v>
      </c>
      <c r="C28" s="39">
        <f t="shared" ref="C28:K28" si="2">C31+C34</f>
        <v>681.5</v>
      </c>
      <c r="D28" s="62">
        <f t="shared" si="2"/>
        <v>1127</v>
      </c>
      <c r="E28" s="62">
        <f t="shared" si="2"/>
        <v>1000.9</v>
      </c>
      <c r="F28" s="41">
        <f t="shared" si="2"/>
        <v>786.3</v>
      </c>
      <c r="G28" s="41">
        <f t="shared" si="2"/>
        <v>1294.9000000000001</v>
      </c>
      <c r="H28" s="41">
        <f t="shared" si="2"/>
        <v>2499.6999999999998</v>
      </c>
      <c r="I28" s="41">
        <f t="shared" si="2"/>
        <v>5501.8</v>
      </c>
      <c r="J28" s="41">
        <f t="shared" si="2"/>
        <v>7630.9</v>
      </c>
      <c r="K28" s="41">
        <f t="shared" si="2"/>
        <v>7630.9</v>
      </c>
      <c r="L28" s="40"/>
      <c r="M28" s="41">
        <f>M31+M34</f>
        <v>9388.7999999999993</v>
      </c>
      <c r="N28" s="41">
        <f>N31+N34</f>
        <v>9388.7999999999993</v>
      </c>
      <c r="O28" s="40"/>
      <c r="P28" s="41">
        <f>P31+P34</f>
        <v>5780.1</v>
      </c>
      <c r="Q28" s="41">
        <f>Q31+Q34</f>
        <v>5780.1</v>
      </c>
    </row>
    <row r="29" spans="1:24" ht="57.75" customHeight="1" x14ac:dyDescent="0.2">
      <c r="A29" s="16" t="s">
        <v>117</v>
      </c>
      <c r="B29" s="11" t="s">
        <v>97</v>
      </c>
      <c r="C29" s="37">
        <v>105.9</v>
      </c>
      <c r="D29" s="58">
        <v>95</v>
      </c>
      <c r="E29" s="61">
        <v>107.9</v>
      </c>
      <c r="F29" s="5">
        <v>140</v>
      </c>
      <c r="G29" s="5">
        <v>91.3</v>
      </c>
      <c r="H29" s="5">
        <v>101.6</v>
      </c>
      <c r="I29" s="5">
        <v>105.9</v>
      </c>
      <c r="J29" s="5">
        <v>105.4</v>
      </c>
      <c r="K29" s="5">
        <v>105.3</v>
      </c>
      <c r="L29" s="5"/>
      <c r="M29" s="5">
        <v>104.2</v>
      </c>
      <c r="N29" s="5">
        <v>104.2</v>
      </c>
      <c r="O29" s="5"/>
      <c r="P29" s="21">
        <v>103.7</v>
      </c>
      <c r="Q29" s="21">
        <v>103.7</v>
      </c>
    </row>
    <row r="30" spans="1:24" ht="93.75" x14ac:dyDescent="0.2">
      <c r="A30" s="16" t="s">
        <v>118</v>
      </c>
      <c r="B30" s="11" t="s">
        <v>28</v>
      </c>
      <c r="C30" s="5">
        <f>C31/C28*C33+C34/C28*C35</f>
        <v>102.59427286047999</v>
      </c>
      <c r="D30" s="60">
        <f>D31/D28*D33+D34/D28*D35</f>
        <v>144.00390889603278</v>
      </c>
      <c r="E30" s="60">
        <f>E31/E28*E33+E34/E28*E35</f>
        <v>81.918022948882552</v>
      </c>
      <c r="F30" s="29">
        <f>F31/F28*F33+F34/F28*F35</f>
        <v>73.098679195115764</v>
      </c>
      <c r="G30" s="29">
        <f t="shared" ref="G30:Q30" si="3">G31/G28*G33+G34/G28*G36</f>
        <v>154.71333120230958</v>
      </c>
      <c r="H30" s="29">
        <f t="shared" si="3"/>
        <v>167.91749844341115</v>
      </c>
      <c r="I30" s="29">
        <f t="shared" si="3"/>
        <v>210.82334178372383</v>
      </c>
      <c r="J30" s="29">
        <f t="shared" si="3"/>
        <v>132.2335031790661</v>
      </c>
      <c r="K30" s="29">
        <f t="shared" si="3"/>
        <v>132.85583662223493</v>
      </c>
      <c r="L30" s="29" t="e">
        <f t="shared" si="3"/>
        <v>#DIV/0!</v>
      </c>
      <c r="M30" s="29">
        <f t="shared" si="3"/>
        <v>117.72256152732697</v>
      </c>
      <c r="N30" s="29">
        <f t="shared" si="3"/>
        <v>117.72256152732697</v>
      </c>
      <c r="O30" s="29" t="e">
        <f t="shared" si="3"/>
        <v>#DIV/0!</v>
      </c>
      <c r="P30" s="29">
        <f t="shared" si="3"/>
        <v>60.31607372082042</v>
      </c>
      <c r="Q30" s="29">
        <f t="shared" si="3"/>
        <v>60.31607372082042</v>
      </c>
    </row>
    <row r="31" spans="1:24" ht="83.25" customHeight="1" x14ac:dyDescent="0.2">
      <c r="A31" s="10" t="s">
        <v>119</v>
      </c>
      <c r="B31" s="11" t="s">
        <v>109</v>
      </c>
      <c r="C31" s="40">
        <v>558</v>
      </c>
      <c r="D31" s="59">
        <v>952.6</v>
      </c>
      <c r="E31" s="59">
        <v>848.4</v>
      </c>
      <c r="F31" s="40">
        <v>588</v>
      </c>
      <c r="G31" s="40">
        <v>1061</v>
      </c>
      <c r="H31" s="40">
        <v>2002</v>
      </c>
      <c r="I31" s="40">
        <v>5175</v>
      </c>
      <c r="J31" s="41">
        <v>7277</v>
      </c>
      <c r="K31" s="40">
        <v>7277</v>
      </c>
      <c r="L31" s="40"/>
      <c r="M31" s="41">
        <v>9010</v>
      </c>
      <c r="N31" s="40">
        <v>9010</v>
      </c>
      <c r="O31" s="40"/>
      <c r="P31" s="41">
        <v>5386</v>
      </c>
      <c r="Q31" s="40">
        <v>5386</v>
      </c>
    </row>
    <row r="32" spans="1:24" ht="56.25" x14ac:dyDescent="0.2">
      <c r="A32" s="16" t="s">
        <v>120</v>
      </c>
      <c r="B32" s="11" t="s">
        <v>97</v>
      </c>
      <c r="C32" s="36">
        <v>108</v>
      </c>
      <c r="D32" s="61">
        <v>113.1</v>
      </c>
      <c r="E32" s="60">
        <v>114.6</v>
      </c>
      <c r="F32" s="29">
        <v>109.4</v>
      </c>
      <c r="G32" s="29">
        <v>110.1</v>
      </c>
      <c r="H32" s="29">
        <v>117.8</v>
      </c>
      <c r="I32" s="29">
        <v>117.4</v>
      </c>
      <c r="J32" s="29">
        <v>105.2</v>
      </c>
      <c r="K32" s="29">
        <v>104.7</v>
      </c>
      <c r="L32" s="29"/>
      <c r="M32" s="29">
        <v>104.6</v>
      </c>
      <c r="N32" s="29">
        <v>104.6</v>
      </c>
      <c r="O32" s="29"/>
      <c r="P32" s="29">
        <v>104.1</v>
      </c>
      <c r="Q32" s="29">
        <v>104.1</v>
      </c>
    </row>
    <row r="33" spans="1:24" ht="93.75" x14ac:dyDescent="0.2">
      <c r="A33" s="16" t="s">
        <v>121</v>
      </c>
      <c r="B33" s="11" t="s">
        <v>28</v>
      </c>
      <c r="C33" s="42">
        <f>C31/495.8/C32*100*100</f>
        <v>104.20868629823855</v>
      </c>
      <c r="D33" s="60">
        <f t="shared" ref="D33:G33" si="4">D31/C31/D32*100*100</f>
        <v>150.94327663849353</v>
      </c>
      <c r="E33" s="60">
        <f t="shared" si="4"/>
        <v>77.715109817935584</v>
      </c>
      <c r="F33" s="29">
        <f t="shared" si="4"/>
        <v>63.351856209386938</v>
      </c>
      <c r="G33" s="29">
        <f t="shared" si="4"/>
        <v>163.889352289508</v>
      </c>
      <c r="H33" s="29">
        <f>H31/G31/H32*100*100</f>
        <v>160.17819624309323</v>
      </c>
      <c r="I33" s="29">
        <f>I31/H31/I32*100*100</f>
        <v>220.18016055494761</v>
      </c>
      <c r="J33" s="29">
        <f>J31/I31/J32*100*100</f>
        <v>133.66764019764517</v>
      </c>
      <c r="K33" s="29">
        <f>K31/I31/K32*100*100</f>
        <v>134.30597658827384</v>
      </c>
      <c r="L33" s="29"/>
      <c r="M33" s="29">
        <f>M31/J31/M32*100*100</f>
        <v>118.36975031471113</v>
      </c>
      <c r="N33" s="29">
        <f>N31/K31/N32*100*100</f>
        <v>118.36975031471113</v>
      </c>
      <c r="O33" s="29"/>
      <c r="P33" s="29">
        <f>P31/M31/P32*100*100</f>
        <v>57.423654579552441</v>
      </c>
      <c r="Q33" s="29">
        <f>Q31/N31/Q32*100*100</f>
        <v>57.423654579552441</v>
      </c>
    </row>
    <row r="34" spans="1:24" ht="82.5" customHeight="1" x14ac:dyDescent="0.2">
      <c r="A34" s="10" t="s">
        <v>122</v>
      </c>
      <c r="B34" s="11" t="s">
        <v>109</v>
      </c>
      <c r="C34" s="43">
        <v>123.5</v>
      </c>
      <c r="D34" s="63">
        <v>174.4</v>
      </c>
      <c r="E34" s="59">
        <v>152.5</v>
      </c>
      <c r="F34" s="40">
        <v>198.3</v>
      </c>
      <c r="G34" s="40">
        <v>233.9</v>
      </c>
      <c r="H34" s="40">
        <v>497.7</v>
      </c>
      <c r="I34" s="40">
        <v>326.8</v>
      </c>
      <c r="J34" s="41">
        <v>353.9</v>
      </c>
      <c r="K34" s="40">
        <v>353.9</v>
      </c>
      <c r="L34" s="40"/>
      <c r="M34" s="41">
        <v>378.8</v>
      </c>
      <c r="N34" s="40">
        <v>378.8</v>
      </c>
      <c r="O34" s="40"/>
      <c r="P34" s="41">
        <v>394.1</v>
      </c>
      <c r="Q34" s="40">
        <v>394.1</v>
      </c>
    </row>
    <row r="35" spans="1:24" ht="56.25" x14ac:dyDescent="0.2">
      <c r="A35" s="16" t="s">
        <v>123</v>
      </c>
      <c r="B35" s="11" t="s">
        <v>97</v>
      </c>
      <c r="C35" s="37">
        <v>95.3</v>
      </c>
      <c r="D35" s="58">
        <v>106.1</v>
      </c>
      <c r="E35" s="60">
        <v>105.3</v>
      </c>
      <c r="F35" s="29">
        <v>102</v>
      </c>
      <c r="G35" s="29">
        <v>104.3</v>
      </c>
      <c r="H35" s="29">
        <v>106.9</v>
      </c>
      <c r="I35" s="29">
        <v>104.8</v>
      </c>
      <c r="J35" s="29">
        <v>105.4</v>
      </c>
      <c r="K35" s="29">
        <v>105.1</v>
      </c>
      <c r="L35" s="29"/>
      <c r="M35" s="29">
        <v>104.6</v>
      </c>
      <c r="N35" s="29">
        <v>104.6</v>
      </c>
      <c r="O35" s="29"/>
      <c r="P35" s="29">
        <v>104.2</v>
      </c>
      <c r="Q35" s="29">
        <v>104.2</v>
      </c>
    </row>
    <row r="36" spans="1:24" ht="93.75" x14ac:dyDescent="0.2">
      <c r="A36" s="16" t="s">
        <v>124</v>
      </c>
      <c r="B36" s="11" t="s">
        <v>28</v>
      </c>
      <c r="C36" s="42">
        <f>C34/131.2/C35*100*100</f>
        <v>98.773449696721528</v>
      </c>
      <c r="D36" s="60">
        <f t="shared" ref="D36:G36" si="5">D34/C34/D35*100*100</f>
        <v>133.09573506011822</v>
      </c>
      <c r="E36" s="60">
        <f t="shared" si="5"/>
        <v>83.041463010881984</v>
      </c>
      <c r="F36" s="29">
        <f>F34/E34/F35*100*100</f>
        <v>127.48312439729992</v>
      </c>
      <c r="G36" s="29">
        <f t="shared" si="5"/>
        <v>113.08973832707447</v>
      </c>
      <c r="H36" s="29">
        <f>H34/G34/H35*100*100</f>
        <v>199.0488687569264</v>
      </c>
      <c r="I36" s="29">
        <f>I34/H34/I35*100*100</f>
        <v>62.654623481756545</v>
      </c>
      <c r="J36" s="29">
        <f>J34/I34/J35*100*100</f>
        <v>102.74433933560788</v>
      </c>
      <c r="K36" s="29">
        <f>K34/I34/K35*100*100</f>
        <v>103.03761528042882</v>
      </c>
      <c r="L36" s="5"/>
      <c r="M36" s="29">
        <f>M34/J34/M35*100*100</f>
        <v>102.32876275665261</v>
      </c>
      <c r="N36" s="29">
        <f>N34/K34/N35*100*100</f>
        <v>102.32876275665261</v>
      </c>
      <c r="O36" s="5"/>
      <c r="P36" s="29">
        <f>P34/M34/P35*100*100</f>
        <v>99.845557341397324</v>
      </c>
      <c r="Q36" s="29">
        <f>Q34/N34/Q35*100*100</f>
        <v>99.845557341397324</v>
      </c>
    </row>
    <row r="37" spans="1:24" ht="18.75" x14ac:dyDescent="0.2">
      <c r="A37" s="10" t="s">
        <v>112</v>
      </c>
      <c r="B37" s="4"/>
      <c r="C37" s="5"/>
      <c r="D37" s="61"/>
      <c r="E37" s="61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T37" s="111"/>
    </row>
    <row r="38" spans="1:24" ht="85.5" customHeight="1" x14ac:dyDescent="0.2">
      <c r="A38" s="10" t="s">
        <v>125</v>
      </c>
      <c r="B38" s="4" t="s">
        <v>109</v>
      </c>
      <c r="C38" s="40">
        <v>939.2</v>
      </c>
      <c r="D38" s="59">
        <v>1049.8</v>
      </c>
      <c r="E38" s="62">
        <v>1199</v>
      </c>
      <c r="F38" s="41">
        <v>1313.9</v>
      </c>
      <c r="G38" s="41">
        <v>1328.6</v>
      </c>
      <c r="H38" s="41">
        <v>1521</v>
      </c>
      <c r="I38" s="41">
        <v>1555</v>
      </c>
      <c r="J38" s="41">
        <v>1585</v>
      </c>
      <c r="K38" s="41">
        <v>1586.1</v>
      </c>
      <c r="L38" s="40"/>
      <c r="M38" s="41">
        <v>1620</v>
      </c>
      <c r="N38" s="41">
        <v>1625</v>
      </c>
      <c r="O38" s="40"/>
      <c r="P38" s="41">
        <v>1653</v>
      </c>
      <c r="Q38" s="116">
        <v>1657.5</v>
      </c>
      <c r="T38" s="143"/>
      <c r="U38" s="144"/>
    </row>
    <row r="39" spans="1:24" ht="56.25" x14ac:dyDescent="0.2">
      <c r="A39" s="16" t="s">
        <v>126</v>
      </c>
      <c r="B39" s="4" t="s">
        <v>97</v>
      </c>
      <c r="C39" s="5">
        <v>104.2</v>
      </c>
      <c r="D39" s="64">
        <v>103.3</v>
      </c>
      <c r="E39" s="60">
        <v>108.1</v>
      </c>
      <c r="F39" s="29">
        <v>119.9</v>
      </c>
      <c r="G39" s="29">
        <v>104.7</v>
      </c>
      <c r="H39" s="29">
        <v>107.7</v>
      </c>
      <c r="I39" s="29">
        <v>111.3</v>
      </c>
      <c r="J39" s="29">
        <v>104.5</v>
      </c>
      <c r="K39" s="29">
        <v>104.4</v>
      </c>
      <c r="L39" s="29"/>
      <c r="M39" s="29">
        <v>104.2</v>
      </c>
      <c r="N39" s="29">
        <v>104.2</v>
      </c>
      <c r="O39" s="29"/>
      <c r="P39" s="29">
        <v>104</v>
      </c>
      <c r="Q39" s="29">
        <v>104</v>
      </c>
    </row>
    <row r="40" spans="1:24" ht="93.75" x14ac:dyDescent="0.2">
      <c r="A40" s="16" t="s">
        <v>127</v>
      </c>
      <c r="B40" s="4" t="s">
        <v>28</v>
      </c>
      <c r="C40" s="42">
        <f>C38/1008/C39*100*100</f>
        <v>89.419004966029931</v>
      </c>
      <c r="D40" s="60">
        <f>D38/C38/D39*100*100</f>
        <v>108.20520770287496</v>
      </c>
      <c r="E40" s="60">
        <f>E38/D38/E39*10000</f>
        <v>105.65423765136357</v>
      </c>
      <c r="F40" s="29">
        <f>F38/E38/F39*10000</f>
        <v>91.395317615944904</v>
      </c>
      <c r="G40" s="29">
        <f>G38/F38/G39*10000</f>
        <v>96.579566959204016</v>
      </c>
      <c r="H40" s="29">
        <f>H38/G38/H39*100*100</f>
        <v>106.29657288946792</v>
      </c>
      <c r="I40" s="29">
        <f>I38/H38/I39*100*100</f>
        <v>91.855679664097664</v>
      </c>
      <c r="J40" s="29">
        <f>J38/I38/J39*10000</f>
        <v>97.5399621532639</v>
      </c>
      <c r="K40" s="29">
        <f>K38/I38/K39*10000</f>
        <v>97.701149425287355</v>
      </c>
      <c r="L40" s="5"/>
      <c r="M40" s="29">
        <f>M38/J38/M39*10000</f>
        <v>98.088485501674171</v>
      </c>
      <c r="N40" s="29">
        <f>N38/K38/N39*10000</f>
        <v>98.322990964812945</v>
      </c>
      <c r="O40" s="5"/>
      <c r="P40" s="29">
        <f>P38/M38/P39*10000</f>
        <v>98.112535612535623</v>
      </c>
      <c r="Q40" s="29">
        <f>Q38/N38/Q39*10000</f>
        <v>98.076923076923066</v>
      </c>
    </row>
    <row r="41" spans="1:24" ht="37.5" x14ac:dyDescent="0.2">
      <c r="A41" s="10" t="s">
        <v>128</v>
      </c>
      <c r="B41" s="4"/>
      <c r="C41" s="5"/>
      <c r="D41" s="61"/>
      <c r="E41" s="61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24" ht="100.5" customHeight="1" x14ac:dyDescent="0.3">
      <c r="A42" s="10" t="s">
        <v>138</v>
      </c>
      <c r="B42" s="4" t="s">
        <v>109</v>
      </c>
      <c r="C42" s="40">
        <v>323.60000000000002</v>
      </c>
      <c r="D42" s="67">
        <v>424.7</v>
      </c>
      <c r="E42" s="62">
        <v>493.5</v>
      </c>
      <c r="F42" s="41">
        <v>560</v>
      </c>
      <c r="G42" s="41">
        <v>666.5</v>
      </c>
      <c r="H42" s="41">
        <v>729</v>
      </c>
      <c r="I42" s="41">
        <v>798.6</v>
      </c>
      <c r="J42" s="41">
        <v>870.2</v>
      </c>
      <c r="K42" s="41">
        <v>871.5</v>
      </c>
      <c r="L42" s="41"/>
      <c r="M42" s="41">
        <v>948</v>
      </c>
      <c r="N42" s="41">
        <v>951.7</v>
      </c>
      <c r="O42" s="41"/>
      <c r="P42" s="41">
        <f>M42*P43*P44/10000</f>
        <v>994.49750399999994</v>
      </c>
      <c r="Q42" s="41">
        <f>N42*Q43*Q44/10000</f>
        <v>998.37898159999997</v>
      </c>
      <c r="T42" s="112"/>
    </row>
    <row r="43" spans="1:24" ht="56.25" x14ac:dyDescent="0.2">
      <c r="A43" s="16" t="s">
        <v>139</v>
      </c>
      <c r="B43" s="4" t="s">
        <v>97</v>
      </c>
      <c r="C43" s="5">
        <v>105.7</v>
      </c>
      <c r="D43" s="64">
        <v>103.9</v>
      </c>
      <c r="E43" s="61">
        <v>106.2</v>
      </c>
      <c r="F43" s="5">
        <v>102.1</v>
      </c>
      <c r="G43" s="5">
        <v>103.8</v>
      </c>
      <c r="H43" s="5">
        <v>104.1</v>
      </c>
      <c r="I43" s="5">
        <v>114.8</v>
      </c>
      <c r="J43" s="5">
        <v>112.2</v>
      </c>
      <c r="K43" s="5">
        <v>112.2</v>
      </c>
      <c r="L43" s="5"/>
      <c r="M43" s="5">
        <v>109.2</v>
      </c>
      <c r="N43" s="5">
        <v>109.2</v>
      </c>
      <c r="O43" s="5"/>
      <c r="P43" s="5">
        <v>104.8</v>
      </c>
      <c r="Q43" s="5">
        <v>104.8</v>
      </c>
    </row>
    <row r="44" spans="1:24" ht="93.75" x14ac:dyDescent="0.2">
      <c r="A44" s="16" t="s">
        <v>140</v>
      </c>
      <c r="B44" s="4" t="s">
        <v>28</v>
      </c>
      <c r="C44" s="29">
        <f>C42/355.7/C43*100*100</f>
        <v>86.069575389208168</v>
      </c>
      <c r="D44" s="68">
        <f>D42/C42/D43*100*100</f>
        <v>126.315952274163</v>
      </c>
      <c r="E44" s="68">
        <f t="shared" ref="E44:J44" si="6">E42/D42/E43*10000</f>
        <v>109.41588545719878</v>
      </c>
      <c r="F44" s="28">
        <f t="shared" si="6"/>
        <v>111.1412118559888</v>
      </c>
      <c r="G44" s="28">
        <f t="shared" si="6"/>
        <v>114.66074869254061</v>
      </c>
      <c r="H44" s="28">
        <f t="shared" si="6"/>
        <v>105.06949503946592</v>
      </c>
      <c r="I44" s="28">
        <f t="shared" si="6"/>
        <v>95.424499218537164</v>
      </c>
      <c r="J44" s="28">
        <f t="shared" si="6"/>
        <v>97.117370728543236</v>
      </c>
      <c r="K44" s="28">
        <f>K42/I42/K43*10000</f>
        <v>97.262455286055399</v>
      </c>
      <c r="L44" s="28"/>
      <c r="M44" s="28">
        <f>M42/J42/M43*10000</f>
        <v>99.762338328185251</v>
      </c>
      <c r="N44" s="28">
        <f>N42/K42/N43*10000</f>
        <v>100.0023117062704</v>
      </c>
      <c r="O44" s="28"/>
      <c r="P44" s="28">
        <v>100.1</v>
      </c>
      <c r="Q44" s="28">
        <v>100.1</v>
      </c>
    </row>
    <row r="45" spans="1:24" ht="56.25" x14ac:dyDescent="0.2">
      <c r="A45" s="10" t="s">
        <v>132</v>
      </c>
      <c r="B45" s="4"/>
      <c r="C45" s="20"/>
      <c r="D45" s="69"/>
      <c r="E45" s="61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24" ht="119.25" customHeight="1" x14ac:dyDescent="0.2">
      <c r="A46" s="10" t="s">
        <v>129</v>
      </c>
      <c r="B46" s="4" t="s">
        <v>109</v>
      </c>
      <c r="C46" s="44">
        <v>318.2</v>
      </c>
      <c r="D46" s="70">
        <v>241.8</v>
      </c>
      <c r="E46" s="70">
        <v>276.3</v>
      </c>
      <c r="F46" s="117">
        <v>353.2</v>
      </c>
      <c r="G46" s="117">
        <v>419.2</v>
      </c>
      <c r="H46" s="132">
        <v>508.5</v>
      </c>
      <c r="I46" s="132">
        <v>559</v>
      </c>
      <c r="J46" s="41">
        <v>595</v>
      </c>
      <c r="K46" s="41">
        <v>609</v>
      </c>
      <c r="L46" s="41"/>
      <c r="M46" s="41">
        <f>J46*M47*M48/10000</f>
        <v>645.40959000000009</v>
      </c>
      <c r="N46" s="41">
        <v>664</v>
      </c>
      <c r="O46" s="41"/>
      <c r="P46" s="41">
        <f>M46*P47*P48/10000</f>
        <v>708.81462812160009</v>
      </c>
      <c r="Q46" s="41">
        <v>730.4</v>
      </c>
      <c r="T46" s="143"/>
      <c r="U46" s="151"/>
      <c r="V46" s="151"/>
      <c r="W46" s="151"/>
      <c r="X46" s="151"/>
    </row>
    <row r="47" spans="1:24" ht="75" x14ac:dyDescent="0.2">
      <c r="A47" s="16" t="s">
        <v>130</v>
      </c>
      <c r="B47" s="4" t="s">
        <v>97</v>
      </c>
      <c r="C47" s="20">
        <v>102.1</v>
      </c>
      <c r="D47" s="66">
        <v>103.2</v>
      </c>
      <c r="E47" s="61">
        <v>103.1</v>
      </c>
      <c r="F47" s="5">
        <v>102.3</v>
      </c>
      <c r="G47" s="5">
        <v>104.7</v>
      </c>
      <c r="H47" s="5">
        <v>110.4</v>
      </c>
      <c r="I47" s="5">
        <v>106.8</v>
      </c>
      <c r="J47" s="5">
        <v>104.3</v>
      </c>
      <c r="K47" s="5">
        <v>104.3</v>
      </c>
      <c r="L47" s="5"/>
      <c r="M47" s="5">
        <v>104.1</v>
      </c>
      <c r="N47" s="5">
        <v>104.1</v>
      </c>
      <c r="O47" s="5"/>
      <c r="P47" s="5">
        <v>104</v>
      </c>
      <c r="Q47" s="5">
        <v>104</v>
      </c>
    </row>
    <row r="48" spans="1:24" ht="93.75" x14ac:dyDescent="0.2">
      <c r="A48" s="16" t="s">
        <v>131</v>
      </c>
      <c r="B48" s="4" t="s">
        <v>28</v>
      </c>
      <c r="C48" s="20">
        <f>C46/349.2/C47*10000</f>
        <v>89.248350504244755</v>
      </c>
      <c r="D48" s="71">
        <f t="shared" ref="D48:G48" si="7">D46/C46/D47*10000</f>
        <v>73.63366611608906</v>
      </c>
      <c r="E48" s="71">
        <f t="shared" si="7"/>
        <v>110.83219211876013</v>
      </c>
      <c r="F48" s="118">
        <f t="shared" si="7"/>
        <v>124.95803186146782</v>
      </c>
      <c r="G48" s="118">
        <f t="shared" si="7"/>
        <v>113.35844958523569</v>
      </c>
      <c r="H48" s="118">
        <f>H46/G46/H47*10000</f>
        <v>109.87543561234649</v>
      </c>
      <c r="I48" s="118">
        <f>I46/H46/I47*10000</f>
        <v>102.93180721737946</v>
      </c>
      <c r="J48" s="118">
        <f>J46/I46/J47*10000</f>
        <v>102.05184233590663</v>
      </c>
      <c r="K48" s="118">
        <f>K46/I46/K47*10000</f>
        <v>104.45306215557503</v>
      </c>
      <c r="L48" s="133"/>
      <c r="M48" s="118">
        <v>104.2</v>
      </c>
      <c r="N48" s="118">
        <f>N46/K46/N47*10000</f>
        <v>104.73698240765717</v>
      </c>
      <c r="O48" s="133"/>
      <c r="P48" s="118">
        <v>105.6</v>
      </c>
      <c r="Q48" s="118">
        <f>Q46/N46/Q47*10000</f>
        <v>105.76923076923076</v>
      </c>
    </row>
    <row r="49" spans="1:22" ht="18.75" x14ac:dyDescent="0.2">
      <c r="A49" s="10" t="s">
        <v>145</v>
      </c>
      <c r="B49" s="4"/>
      <c r="C49" s="5"/>
      <c r="D49" s="72"/>
      <c r="E49" s="61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22" ht="18.75" x14ac:dyDescent="0.2">
      <c r="A50" s="12" t="s">
        <v>7</v>
      </c>
      <c r="B50" s="6" t="s">
        <v>8</v>
      </c>
      <c r="C50" s="38">
        <v>1884.4</v>
      </c>
      <c r="D50" s="67">
        <v>1919.9</v>
      </c>
      <c r="E50" s="67">
        <f t="shared" ref="E50:K50" si="8">E54+E57</f>
        <v>1916.9</v>
      </c>
      <c r="F50" s="116">
        <f t="shared" si="8"/>
        <v>2165.9</v>
      </c>
      <c r="G50" s="116">
        <f t="shared" si="8"/>
        <v>2702.9</v>
      </c>
      <c r="H50" s="116">
        <f t="shared" si="8"/>
        <v>3095.5</v>
      </c>
      <c r="I50" s="116">
        <f t="shared" si="8"/>
        <v>3345.2</v>
      </c>
      <c r="J50" s="134">
        <f>J54+J57</f>
        <v>3530.3225199999997</v>
      </c>
      <c r="K50" s="134">
        <f t="shared" si="8"/>
        <v>3555.4973092</v>
      </c>
      <c r="L50" s="134"/>
      <c r="M50" s="134">
        <f>M54+M57</f>
        <v>3731.4390051815999</v>
      </c>
      <c r="N50" s="134">
        <f>N54+N57</f>
        <v>3776.5821961864003</v>
      </c>
      <c r="O50" s="134"/>
      <c r="P50" s="134">
        <f>P54+P57</f>
        <v>3965.0394688234755</v>
      </c>
      <c r="Q50" s="134">
        <f>Q54+Q57</f>
        <v>4013.7250335178896</v>
      </c>
    </row>
    <row r="51" spans="1:22" ht="93.75" x14ac:dyDescent="0.2">
      <c r="A51" s="16" t="s">
        <v>9</v>
      </c>
      <c r="B51" s="4" t="s">
        <v>28</v>
      </c>
      <c r="C51" s="37">
        <f t="shared" ref="C51" si="9">C54/C50*C55+C57/C50*C58</f>
        <v>92.899130720792925</v>
      </c>
      <c r="D51" s="58">
        <f>D54/D50*D55+D57/D50*D58</f>
        <v>97.032517632073393</v>
      </c>
      <c r="E51" s="58">
        <f t="shared" ref="E51" si="10">E54/E50*E55+E57/E50*E58</f>
        <v>96.326757175226135</v>
      </c>
      <c r="F51" s="27">
        <f>F54/F50*F55+F57/F50*F58</f>
        <v>103.17295434593768</v>
      </c>
      <c r="G51" s="27">
        <f>G54/G50*G55+G57/G50*G58</f>
        <v>121.17597066935116</v>
      </c>
      <c r="H51" s="27">
        <f>H54/H50*H55+H57/H50*H58</f>
        <v>109.65479475821067</v>
      </c>
      <c r="I51" s="27">
        <f>I54/I50*I55+I57/I50*I58</f>
        <v>100.18358802292002</v>
      </c>
      <c r="J51" s="27">
        <f>J54/J50*J55+J57/J50*J58</f>
        <v>100.10560475658482</v>
      </c>
      <c r="K51" s="27">
        <f t="shared" ref="K51:Q51" si="11">K54/K50*K55+K57/K50*K58</f>
        <v>101.20325734914672</v>
      </c>
      <c r="L51" s="27" t="e">
        <f t="shared" si="11"/>
        <v>#DIV/0!</v>
      </c>
      <c r="M51" s="27">
        <f t="shared" si="11"/>
        <v>100.96207115234537</v>
      </c>
      <c r="N51" s="27">
        <f t="shared" si="11"/>
        <v>101.52410970481574</v>
      </c>
      <c r="O51" s="27" t="e">
        <f t="shared" si="11"/>
        <v>#DIV/0!</v>
      </c>
      <c r="P51" s="27">
        <f t="shared" si="11"/>
        <v>101.7587664385744</v>
      </c>
      <c r="Q51" s="27">
        <f t="shared" si="11"/>
        <v>101.77551652569962</v>
      </c>
    </row>
    <row r="52" spans="1:22" ht="56.25" x14ac:dyDescent="0.2">
      <c r="A52" s="16" t="s">
        <v>10</v>
      </c>
      <c r="B52" s="4" t="s">
        <v>97</v>
      </c>
      <c r="C52" s="21">
        <v>103.7</v>
      </c>
      <c r="D52" s="65">
        <v>105</v>
      </c>
      <c r="E52" s="60">
        <v>103.6</v>
      </c>
      <c r="F52" s="29">
        <v>109.8</v>
      </c>
      <c r="G52" s="29">
        <v>104.2</v>
      </c>
      <c r="H52" s="29">
        <v>105</v>
      </c>
      <c r="I52" s="29">
        <v>107.8</v>
      </c>
      <c r="J52" s="29">
        <v>105.4</v>
      </c>
      <c r="K52" s="29">
        <v>105</v>
      </c>
      <c r="L52" s="29"/>
      <c r="M52" s="29">
        <v>104.6</v>
      </c>
      <c r="N52" s="29">
        <v>104.6</v>
      </c>
      <c r="O52" s="29"/>
      <c r="P52" s="29">
        <v>104.4</v>
      </c>
      <c r="Q52" s="29">
        <v>104.4</v>
      </c>
    </row>
    <row r="53" spans="1:22" ht="37.5" x14ac:dyDescent="0.2">
      <c r="A53" s="16" t="s">
        <v>11</v>
      </c>
      <c r="B53" s="4"/>
      <c r="C53" s="21"/>
      <c r="D53" s="73"/>
      <c r="E53" s="61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21"/>
    </row>
    <row r="54" spans="1:22" ht="18.75" x14ac:dyDescent="0.2">
      <c r="A54" s="10" t="s">
        <v>12</v>
      </c>
      <c r="B54" s="4" t="s">
        <v>13</v>
      </c>
      <c r="C54" s="45">
        <v>583.70000000000005</v>
      </c>
      <c r="D54" s="74">
        <v>596.1</v>
      </c>
      <c r="E54" s="59">
        <v>605.1</v>
      </c>
      <c r="F54" s="40">
        <v>653.6</v>
      </c>
      <c r="G54" s="40">
        <v>694.7</v>
      </c>
      <c r="H54" s="40">
        <v>889.9</v>
      </c>
      <c r="I54" s="40">
        <v>949.8</v>
      </c>
      <c r="J54" s="41">
        <f>I54*J55*J56/10000</f>
        <v>985.32251999999994</v>
      </c>
      <c r="K54" s="41">
        <f>I54*K55*K56/10000</f>
        <v>992.49730920000002</v>
      </c>
      <c r="L54" s="40"/>
      <c r="M54" s="41">
        <f>J54*M55*M56/10000</f>
        <v>1016.4390051816</v>
      </c>
      <c r="N54" s="41">
        <f>K54*N55*N56/10000</f>
        <v>1034.1821961864</v>
      </c>
      <c r="O54" s="41"/>
      <c r="P54" s="41">
        <f>M54*P55*P56/10000</f>
        <v>1056.0394688234753</v>
      </c>
      <c r="Q54" s="41">
        <f>N54*Q55*Q56/10000</f>
        <v>1076.62503351789</v>
      </c>
    </row>
    <row r="55" spans="1:22" ht="93.75" x14ac:dyDescent="0.2">
      <c r="A55" s="16" t="s">
        <v>14</v>
      </c>
      <c r="B55" s="4" t="s">
        <v>28</v>
      </c>
      <c r="C55" s="21">
        <f>C54/459.8/C56*10000</f>
        <v>122.41706699864895</v>
      </c>
      <c r="D55" s="58">
        <f t="shared" ref="D55:I55" si="12">D54/C54/D56*10000</f>
        <v>97.261313296948046</v>
      </c>
      <c r="E55" s="79">
        <f t="shared" si="12"/>
        <v>97.793654903306958</v>
      </c>
      <c r="F55" s="27">
        <f t="shared" si="12"/>
        <v>97.398741297111016</v>
      </c>
      <c r="G55" s="27">
        <f t="shared" si="12"/>
        <v>100.9385087312464</v>
      </c>
      <c r="H55" s="27">
        <f t="shared" si="12"/>
        <v>119.94237805880694</v>
      </c>
      <c r="I55" s="27">
        <f t="shared" si="12"/>
        <v>99.935480694081264</v>
      </c>
      <c r="J55" s="27">
        <v>98.8</v>
      </c>
      <c r="K55" s="27">
        <v>99.9</v>
      </c>
      <c r="L55" s="27"/>
      <c r="M55" s="27">
        <v>99</v>
      </c>
      <c r="N55" s="27">
        <v>100</v>
      </c>
      <c r="O55" s="27"/>
      <c r="P55" s="27">
        <v>99.9</v>
      </c>
      <c r="Q55" s="27">
        <v>100.1</v>
      </c>
      <c r="V55" s="104"/>
    </row>
    <row r="56" spans="1:22" ht="56.25" x14ac:dyDescent="0.2">
      <c r="A56" s="16" t="s">
        <v>15</v>
      </c>
      <c r="B56" s="4" t="s">
        <v>97</v>
      </c>
      <c r="C56" s="21">
        <v>103.7</v>
      </c>
      <c r="D56" s="65">
        <v>105</v>
      </c>
      <c r="E56" s="60">
        <v>103.8</v>
      </c>
      <c r="F56" s="29">
        <v>110.9</v>
      </c>
      <c r="G56" s="29">
        <v>105.3</v>
      </c>
      <c r="H56" s="29">
        <v>106.8</v>
      </c>
      <c r="I56" s="29">
        <v>106.8</v>
      </c>
      <c r="J56" s="29">
        <v>105</v>
      </c>
      <c r="K56" s="29">
        <v>104.6</v>
      </c>
      <c r="L56" s="29"/>
      <c r="M56" s="29">
        <v>104.2</v>
      </c>
      <c r="N56" s="29">
        <v>104.2</v>
      </c>
      <c r="O56" s="29"/>
      <c r="P56" s="29">
        <v>104</v>
      </c>
      <c r="Q56" s="29">
        <v>104</v>
      </c>
    </row>
    <row r="57" spans="1:22" ht="18.75" x14ac:dyDescent="0.2">
      <c r="A57" s="10" t="s">
        <v>16</v>
      </c>
      <c r="B57" s="4" t="s">
        <v>13</v>
      </c>
      <c r="C57" s="45">
        <v>1300.7</v>
      </c>
      <c r="D57" s="74">
        <v>1323.8</v>
      </c>
      <c r="E57" s="59">
        <v>1311.8</v>
      </c>
      <c r="F57" s="40">
        <v>1512.3</v>
      </c>
      <c r="G57" s="40">
        <v>2008.2</v>
      </c>
      <c r="H57" s="40">
        <v>2205.6</v>
      </c>
      <c r="I57" s="40">
        <v>2395.4</v>
      </c>
      <c r="J57" s="40">
        <v>2545</v>
      </c>
      <c r="K57" s="40">
        <v>2563</v>
      </c>
      <c r="L57" s="40"/>
      <c r="M57" s="40">
        <v>2715</v>
      </c>
      <c r="N57" s="40">
        <v>2742.4</v>
      </c>
      <c r="O57" s="40"/>
      <c r="P57" s="40">
        <v>2909</v>
      </c>
      <c r="Q57" s="40">
        <v>2937.1</v>
      </c>
    </row>
    <row r="58" spans="1:22" ht="93.75" x14ac:dyDescent="0.2">
      <c r="A58" s="16" t="s">
        <v>17</v>
      </c>
      <c r="B58" s="4" t="s">
        <v>28</v>
      </c>
      <c r="C58" s="21">
        <f>C57/1574.7/C59*10000</f>
        <v>79.652710020105161</v>
      </c>
      <c r="D58" s="58">
        <f t="shared" ref="D58:J58" si="13">D57/C57/D59*10000</f>
        <v>96.929492178204399</v>
      </c>
      <c r="E58" s="58">
        <f t="shared" si="13"/>
        <v>95.650114535142492</v>
      </c>
      <c r="F58" s="27">
        <f t="shared" si="13"/>
        <v>105.66850790588818</v>
      </c>
      <c r="G58" s="27">
        <f t="shared" si="13"/>
        <v>128.17674987879315</v>
      </c>
      <c r="H58" s="27">
        <f t="shared" si="13"/>
        <v>105.50403288878711</v>
      </c>
      <c r="I58" s="27">
        <f t="shared" si="13"/>
        <v>100.28196505428473</v>
      </c>
      <c r="J58" s="27">
        <f t="shared" si="13"/>
        <v>100.61108285830669</v>
      </c>
      <c r="K58" s="27">
        <f>K57/I57/K59*10000</f>
        <v>101.70793132972544</v>
      </c>
      <c r="L58" s="27"/>
      <c r="M58" s="27">
        <f>M57/J57/M59*10000</f>
        <v>101.69662940287409</v>
      </c>
      <c r="N58" s="27">
        <f>N57/K57/N59*10000</f>
        <v>102.09886434372888</v>
      </c>
      <c r="O58" s="27"/>
      <c r="P58" s="27">
        <f>P57/M57/P59*10000</f>
        <v>102.43354496124851</v>
      </c>
      <c r="Q58" s="27">
        <f>Q57/N57/Q59*10000</f>
        <v>102.38969480891814</v>
      </c>
    </row>
    <row r="59" spans="1:22" ht="56.25" x14ac:dyDescent="0.2">
      <c r="A59" s="16" t="s">
        <v>18</v>
      </c>
      <c r="B59" s="4" t="s">
        <v>97</v>
      </c>
      <c r="C59" s="21">
        <v>103.7</v>
      </c>
      <c r="D59" s="65">
        <v>105</v>
      </c>
      <c r="E59" s="60">
        <v>103.6</v>
      </c>
      <c r="F59" s="29">
        <v>109.1</v>
      </c>
      <c r="G59" s="29">
        <v>103.6</v>
      </c>
      <c r="H59" s="29">
        <v>104.1</v>
      </c>
      <c r="I59" s="29">
        <v>108.3</v>
      </c>
      <c r="J59" s="29">
        <v>105.6</v>
      </c>
      <c r="K59" s="29">
        <v>105.2</v>
      </c>
      <c r="L59" s="29"/>
      <c r="M59" s="29">
        <v>104.9</v>
      </c>
      <c r="N59" s="29">
        <v>104.8</v>
      </c>
      <c r="O59" s="29"/>
      <c r="P59" s="29">
        <v>104.6</v>
      </c>
      <c r="Q59" s="29">
        <v>104.6</v>
      </c>
    </row>
    <row r="60" spans="1:22" ht="37.5" x14ac:dyDescent="0.2">
      <c r="A60" s="10" t="s">
        <v>158</v>
      </c>
      <c r="B60" s="4"/>
      <c r="C60" s="5"/>
      <c r="D60" s="72"/>
      <c r="E60" s="61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22" ht="18.75" x14ac:dyDescent="0.2">
      <c r="A61" s="16" t="s">
        <v>142</v>
      </c>
      <c r="B61" s="4" t="s">
        <v>20</v>
      </c>
      <c r="C61" s="5">
        <v>1.72</v>
      </c>
      <c r="D61" s="64">
        <v>2.08</v>
      </c>
      <c r="E61" s="61">
        <v>3.66</v>
      </c>
      <c r="F61" s="5">
        <v>1.6</v>
      </c>
      <c r="G61" s="5">
        <v>1.9147000000000001</v>
      </c>
      <c r="H61" s="5">
        <v>2.1</v>
      </c>
      <c r="I61" s="5">
        <v>2.15</v>
      </c>
      <c r="J61" s="5">
        <v>1.92</v>
      </c>
      <c r="K61" s="5">
        <v>2.2000000000000002</v>
      </c>
      <c r="L61" s="5"/>
      <c r="M61" s="5">
        <v>2</v>
      </c>
      <c r="N61" s="5">
        <v>2.2200000000000002</v>
      </c>
      <c r="O61" s="5"/>
      <c r="P61" s="5">
        <v>2</v>
      </c>
      <c r="Q61" s="5">
        <v>2.25</v>
      </c>
    </row>
    <row r="62" spans="1:22" ht="18.75" x14ac:dyDescent="0.2">
      <c r="A62" s="16" t="s">
        <v>141</v>
      </c>
      <c r="B62" s="4" t="s">
        <v>20</v>
      </c>
      <c r="C62" s="5">
        <v>12.2</v>
      </c>
      <c r="D62" s="64">
        <v>11.42</v>
      </c>
      <c r="E62" s="61">
        <v>10.43</v>
      </c>
      <c r="F62" s="114">
        <v>10.428000000000001</v>
      </c>
      <c r="G62" s="5">
        <v>11.2994</v>
      </c>
      <c r="H62" s="5">
        <v>11.3</v>
      </c>
      <c r="I62" s="5">
        <v>11.5</v>
      </c>
      <c r="J62" s="5">
        <v>11.6</v>
      </c>
      <c r="K62" s="5">
        <v>11.7</v>
      </c>
      <c r="L62" s="5"/>
      <c r="M62" s="5">
        <v>11.8</v>
      </c>
      <c r="N62" s="5">
        <v>11.9</v>
      </c>
      <c r="O62" s="5"/>
      <c r="P62" s="5">
        <v>11.9</v>
      </c>
      <c r="Q62" s="5">
        <v>12</v>
      </c>
    </row>
    <row r="63" spans="1:22" ht="18.75" x14ac:dyDescent="0.2">
      <c r="A63" s="16" t="s">
        <v>143</v>
      </c>
      <c r="B63" s="4" t="s">
        <v>20</v>
      </c>
      <c r="C63" s="5">
        <v>10.7</v>
      </c>
      <c r="D63" s="64">
        <v>10</v>
      </c>
      <c r="E63" s="61">
        <v>10.72</v>
      </c>
      <c r="F63" s="5">
        <v>11.6</v>
      </c>
      <c r="G63" s="5">
        <v>12.7301</v>
      </c>
      <c r="H63" s="5">
        <v>15.54</v>
      </c>
      <c r="I63" s="5">
        <v>15.7</v>
      </c>
      <c r="J63" s="5">
        <v>15.8</v>
      </c>
      <c r="K63" s="5">
        <v>15.9</v>
      </c>
      <c r="L63" s="5"/>
      <c r="M63" s="5">
        <v>16</v>
      </c>
      <c r="N63" s="5">
        <v>16.100000000000001</v>
      </c>
      <c r="O63" s="5"/>
      <c r="P63" s="5">
        <v>16.100000000000001</v>
      </c>
      <c r="Q63" s="5">
        <v>16.2</v>
      </c>
    </row>
    <row r="64" spans="1:22" ht="18.75" x14ac:dyDescent="0.2">
      <c r="A64" s="16" t="s">
        <v>21</v>
      </c>
      <c r="B64" s="4" t="s">
        <v>20</v>
      </c>
      <c r="C64" s="5">
        <v>5.4</v>
      </c>
      <c r="D64" s="64">
        <v>5.6</v>
      </c>
      <c r="E64" s="61">
        <v>5.4</v>
      </c>
      <c r="F64" s="5">
        <v>5.26</v>
      </c>
      <c r="G64" s="5">
        <v>6.2460000000000004</v>
      </c>
      <c r="H64" s="5">
        <v>5.38</v>
      </c>
      <c r="I64" s="5">
        <v>5.5</v>
      </c>
      <c r="J64" s="5">
        <v>5.5</v>
      </c>
      <c r="K64" s="5">
        <v>5.6</v>
      </c>
      <c r="L64" s="5"/>
      <c r="M64" s="5">
        <v>5.6</v>
      </c>
      <c r="N64" s="5">
        <v>5.7</v>
      </c>
      <c r="O64" s="5"/>
      <c r="P64" s="5">
        <v>5.7</v>
      </c>
      <c r="Q64" s="5">
        <v>5.8</v>
      </c>
    </row>
    <row r="65" spans="1:21" ht="18.75" x14ac:dyDescent="0.2">
      <c r="A65" s="16" t="s">
        <v>22</v>
      </c>
      <c r="B65" s="4" t="s">
        <v>20</v>
      </c>
      <c r="C65" s="5">
        <v>12.3</v>
      </c>
      <c r="D65" s="64">
        <v>11.5</v>
      </c>
      <c r="E65" s="61">
        <v>10.55</v>
      </c>
      <c r="F65" s="5">
        <v>10.67</v>
      </c>
      <c r="G65" s="5">
        <v>9.5519999999999996</v>
      </c>
      <c r="H65" s="5">
        <v>8.8740000000000006</v>
      </c>
      <c r="I65" s="5">
        <v>8.9</v>
      </c>
      <c r="J65" s="5">
        <v>8.9</v>
      </c>
      <c r="K65" s="5">
        <v>9</v>
      </c>
      <c r="L65" s="5"/>
      <c r="M65" s="5">
        <v>8.9</v>
      </c>
      <c r="N65" s="5">
        <v>9</v>
      </c>
      <c r="O65" s="5"/>
      <c r="P65" s="5">
        <v>8.9</v>
      </c>
      <c r="Q65" s="5">
        <v>9</v>
      </c>
    </row>
    <row r="66" spans="1:21" ht="18.75" x14ac:dyDescent="0.2">
      <c r="A66" s="16" t="s">
        <v>23</v>
      </c>
      <c r="B66" s="4" t="s">
        <v>24</v>
      </c>
      <c r="C66" s="5">
        <v>69.400000000000006</v>
      </c>
      <c r="D66" s="64">
        <v>68.3</v>
      </c>
      <c r="E66" s="60">
        <v>67.599999999999994</v>
      </c>
      <c r="F66" s="29">
        <v>68.7</v>
      </c>
      <c r="G66" s="5">
        <v>70.769000000000005</v>
      </c>
      <c r="H66" s="5">
        <v>67.147999999999996</v>
      </c>
      <c r="I66" s="5">
        <v>68</v>
      </c>
      <c r="J66" s="5">
        <v>67.5</v>
      </c>
      <c r="K66" s="5">
        <v>68</v>
      </c>
      <c r="L66" s="5"/>
      <c r="M66" s="5">
        <v>68</v>
      </c>
      <c r="N66" s="5">
        <v>69</v>
      </c>
      <c r="O66" s="5"/>
      <c r="P66" s="5">
        <v>69</v>
      </c>
      <c r="Q66" s="5">
        <v>70</v>
      </c>
    </row>
    <row r="67" spans="1:21" ht="18.75" x14ac:dyDescent="0.2">
      <c r="A67" s="10" t="s">
        <v>167</v>
      </c>
      <c r="B67" s="4"/>
      <c r="C67" s="8"/>
      <c r="D67" s="61"/>
      <c r="E67" s="61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21" ht="56.25" x14ac:dyDescent="0.2">
      <c r="A68" s="17" t="s">
        <v>29</v>
      </c>
      <c r="B68" s="6" t="s">
        <v>30</v>
      </c>
      <c r="C68" s="5">
        <v>45.22</v>
      </c>
      <c r="D68" s="64">
        <v>45.56</v>
      </c>
      <c r="E68" s="58">
        <v>78.123000000000005</v>
      </c>
      <c r="F68" s="21">
        <v>58.98</v>
      </c>
      <c r="G68" s="21">
        <v>83.39</v>
      </c>
      <c r="H68" s="21">
        <v>94.21</v>
      </c>
      <c r="I68" s="21">
        <v>95.1</v>
      </c>
      <c r="J68" s="21">
        <v>94.5</v>
      </c>
      <c r="K68" s="21">
        <v>95</v>
      </c>
      <c r="L68" s="21"/>
      <c r="M68" s="21">
        <v>94.6</v>
      </c>
      <c r="N68" s="21">
        <v>95.3</v>
      </c>
      <c r="O68" s="21"/>
      <c r="P68" s="21">
        <v>95</v>
      </c>
      <c r="Q68" s="21">
        <v>95.5</v>
      </c>
    </row>
    <row r="69" spans="1:21" ht="37.5" x14ac:dyDescent="0.2">
      <c r="A69" s="17" t="s">
        <v>31</v>
      </c>
      <c r="B69" s="6" t="s">
        <v>32</v>
      </c>
      <c r="C69" s="5">
        <v>100</v>
      </c>
      <c r="D69" s="64">
        <v>100</v>
      </c>
      <c r="E69" s="61">
        <v>100</v>
      </c>
      <c r="F69" s="5">
        <v>100</v>
      </c>
      <c r="G69" s="5">
        <v>100</v>
      </c>
      <c r="H69" s="5">
        <v>99.92</v>
      </c>
      <c r="I69" s="5">
        <v>99.8</v>
      </c>
      <c r="J69" s="5">
        <v>100</v>
      </c>
      <c r="K69" s="5">
        <v>100</v>
      </c>
      <c r="L69" s="5"/>
      <c r="M69" s="5">
        <v>99.9</v>
      </c>
      <c r="N69" s="5">
        <v>99.8</v>
      </c>
      <c r="O69" s="5"/>
      <c r="P69" s="5">
        <v>100</v>
      </c>
      <c r="Q69" s="5">
        <v>100</v>
      </c>
    </row>
    <row r="70" spans="1:21" ht="18.75" x14ac:dyDescent="0.2">
      <c r="A70" s="10" t="s">
        <v>33</v>
      </c>
      <c r="B70" s="4"/>
      <c r="C70" s="5"/>
      <c r="D70" s="61"/>
      <c r="E70" s="61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21" ht="120.75" customHeight="1" x14ac:dyDescent="0.2">
      <c r="A71" s="16" t="s">
        <v>34</v>
      </c>
      <c r="B71" s="4" t="s">
        <v>35</v>
      </c>
      <c r="C71" s="5">
        <v>105.9</v>
      </c>
      <c r="D71" s="61">
        <v>103.2</v>
      </c>
      <c r="E71" s="60">
        <v>106.4</v>
      </c>
      <c r="F71" s="29">
        <v>119.6</v>
      </c>
      <c r="G71" s="29">
        <v>105.2</v>
      </c>
      <c r="H71" s="29">
        <v>106.8</v>
      </c>
      <c r="I71" s="29">
        <v>109.4</v>
      </c>
      <c r="J71" s="29">
        <v>105.5</v>
      </c>
      <c r="K71" s="29">
        <v>105.4</v>
      </c>
      <c r="L71" s="29"/>
      <c r="M71" s="29">
        <v>104.1</v>
      </c>
      <c r="N71" s="29">
        <v>104.1</v>
      </c>
      <c r="O71" s="29"/>
      <c r="P71" s="29">
        <v>104.1</v>
      </c>
      <c r="Q71" s="29">
        <v>104.1</v>
      </c>
    </row>
    <row r="72" spans="1:21" ht="75" x14ac:dyDescent="0.2">
      <c r="A72" s="12" t="s">
        <v>36</v>
      </c>
      <c r="B72" s="7" t="s">
        <v>27</v>
      </c>
      <c r="C72" s="38">
        <v>3006</v>
      </c>
      <c r="D72" s="59">
        <v>3089.1</v>
      </c>
      <c r="E72" s="59">
        <v>3404.4</v>
      </c>
      <c r="F72" s="40">
        <v>3499.6</v>
      </c>
      <c r="G72" s="40">
        <v>3952.2</v>
      </c>
      <c r="H72" s="40">
        <v>4357.2</v>
      </c>
      <c r="I72" s="40">
        <v>4598.8999999999996</v>
      </c>
      <c r="J72" s="41">
        <f>H72*J73*J74/10000</f>
        <v>4510.4340096000005</v>
      </c>
      <c r="K72" s="40">
        <v>4754.5</v>
      </c>
      <c r="L72" s="40"/>
      <c r="M72" s="41">
        <f>J72*M73*M74/10000</f>
        <v>4658.0154103941131</v>
      </c>
      <c r="N72" s="40">
        <v>4912.8999999999996</v>
      </c>
      <c r="O72" s="40"/>
      <c r="P72" s="41">
        <f>M72*P73*P74/10000</f>
        <v>4791.0483305149701</v>
      </c>
      <c r="Q72" s="40">
        <v>5057.8</v>
      </c>
    </row>
    <row r="73" spans="1:21" ht="99.75" customHeight="1" x14ac:dyDescent="0.2">
      <c r="A73" s="17" t="s">
        <v>178</v>
      </c>
      <c r="B73" s="7" t="s">
        <v>28</v>
      </c>
      <c r="C73" s="29">
        <f>C72/2768.7/C74*10000</f>
        <v>102.91071981529478</v>
      </c>
      <c r="D73" s="60">
        <f t="shared" ref="D73:G73" si="14">D72/C72/D74*10000</f>
        <v>100.55232001749924</v>
      </c>
      <c r="E73" s="60">
        <f t="shared" si="14"/>
        <v>103.77293443119758</v>
      </c>
      <c r="F73" s="29">
        <f t="shared" si="14"/>
        <v>85.806662064942373</v>
      </c>
      <c r="G73" s="29">
        <f t="shared" si="14"/>
        <v>108.58933328644153</v>
      </c>
      <c r="H73" s="29">
        <f>H72/G72/H74*10000</f>
        <v>103.03500664719094</v>
      </c>
      <c r="I73" s="29">
        <f>I72/H72/I74*10000</f>
        <v>97.010239306408309</v>
      </c>
      <c r="J73" s="5">
        <v>98.4</v>
      </c>
      <c r="K73" s="29">
        <f>K72/I72/K74*10000</f>
        <v>98.460397879824271</v>
      </c>
      <c r="L73" s="5"/>
      <c r="M73" s="5">
        <v>99.3</v>
      </c>
      <c r="N73" s="29">
        <f>N72/K72/N74*10000</f>
        <v>99.357289046004993</v>
      </c>
      <c r="O73" s="5"/>
      <c r="P73" s="5">
        <v>98.9</v>
      </c>
      <c r="Q73" s="29">
        <f>Q72/N72/Q74*10000</f>
        <v>98.989786699693298</v>
      </c>
    </row>
    <row r="74" spans="1:21" ht="61.5" customHeight="1" x14ac:dyDescent="0.2">
      <c r="A74" s="16" t="s">
        <v>37</v>
      </c>
      <c r="B74" s="4" t="s">
        <v>97</v>
      </c>
      <c r="C74" s="5">
        <v>105.5</v>
      </c>
      <c r="D74" s="61">
        <v>102.2</v>
      </c>
      <c r="E74" s="60">
        <v>106.2</v>
      </c>
      <c r="F74" s="29">
        <v>119.8</v>
      </c>
      <c r="G74" s="29">
        <v>104</v>
      </c>
      <c r="H74" s="29">
        <v>107</v>
      </c>
      <c r="I74" s="29">
        <v>108.8</v>
      </c>
      <c r="J74" s="29">
        <v>105.2</v>
      </c>
      <c r="K74" s="29">
        <v>105</v>
      </c>
      <c r="L74" s="29"/>
      <c r="M74" s="29">
        <v>104</v>
      </c>
      <c r="N74" s="29">
        <v>104</v>
      </c>
      <c r="O74" s="29"/>
      <c r="P74" s="29">
        <v>104</v>
      </c>
      <c r="Q74" s="29">
        <v>104</v>
      </c>
    </row>
    <row r="75" spans="1:21" ht="18.75" x14ac:dyDescent="0.2">
      <c r="A75" s="10" t="s">
        <v>38</v>
      </c>
      <c r="B75" s="4" t="s">
        <v>109</v>
      </c>
      <c r="C75" s="5"/>
      <c r="D75" s="61">
        <v>1.1705000000000001</v>
      </c>
      <c r="E75" s="59">
        <v>0.87319999999999998</v>
      </c>
      <c r="F75" s="40">
        <v>2.8</v>
      </c>
      <c r="G75" s="40">
        <v>3.7</v>
      </c>
      <c r="H75" s="40">
        <v>3.6</v>
      </c>
      <c r="I75" s="40">
        <v>3.6</v>
      </c>
      <c r="J75" s="41">
        <f>I75*J76*J77/10000</f>
        <v>3.6339660000000005</v>
      </c>
      <c r="K75" s="40">
        <v>3.7</v>
      </c>
      <c r="L75" s="40"/>
      <c r="M75" s="41">
        <f>J75*M76*M77/10000</f>
        <v>3.7144220072400005</v>
      </c>
      <c r="N75" s="40">
        <v>3.8</v>
      </c>
      <c r="O75" s="40"/>
      <c r="P75" s="41">
        <f>M75*P76*P77/10000</f>
        <v>3.6839637467806323</v>
      </c>
      <c r="Q75" s="40">
        <v>3.8</v>
      </c>
    </row>
    <row r="76" spans="1:21" ht="93.75" x14ac:dyDescent="0.2">
      <c r="A76" s="16" t="s">
        <v>38</v>
      </c>
      <c r="B76" s="4" t="s">
        <v>28</v>
      </c>
      <c r="C76" s="5"/>
      <c r="D76" s="61"/>
      <c r="E76" s="61">
        <f>E75/D75/E77*10000</f>
        <v>69.010728987074714</v>
      </c>
      <c r="F76" s="5">
        <f>F75/E75/F77*10000</f>
        <v>271.97594800130702</v>
      </c>
      <c r="G76" s="5">
        <f>G75/F75/G77*10000</f>
        <v>126.69497329132997</v>
      </c>
      <c r="H76" s="5">
        <f>H75/G75/H77*10000</f>
        <v>91.102338293349518</v>
      </c>
      <c r="I76" s="5">
        <f>I75/H75/I77*10000</f>
        <v>89.445438282647586</v>
      </c>
      <c r="J76" s="5">
        <v>95.5</v>
      </c>
      <c r="K76" s="29">
        <f>K75/I75/K77*10000</f>
        <v>97.327441077441108</v>
      </c>
      <c r="L76" s="5"/>
      <c r="M76" s="5">
        <v>98</v>
      </c>
      <c r="N76" s="29">
        <f>N75/K75/N77*10000</f>
        <v>98.563054417181093</v>
      </c>
      <c r="O76" s="5"/>
      <c r="P76" s="5">
        <v>95</v>
      </c>
      <c r="Q76" s="29">
        <f>Q75/N75/Q77*10000</f>
        <v>95.877277085330789</v>
      </c>
    </row>
    <row r="77" spans="1:21" ht="112.5" x14ac:dyDescent="0.2">
      <c r="A77" s="16" t="s">
        <v>114</v>
      </c>
      <c r="B77" s="4" t="s">
        <v>35</v>
      </c>
      <c r="C77" s="5"/>
      <c r="D77" s="61"/>
      <c r="E77" s="61">
        <v>108.1</v>
      </c>
      <c r="F77" s="5">
        <v>117.9</v>
      </c>
      <c r="G77" s="5">
        <v>104.3</v>
      </c>
      <c r="H77" s="5">
        <v>106.8</v>
      </c>
      <c r="I77" s="5">
        <v>111.8</v>
      </c>
      <c r="J77" s="5">
        <v>105.7</v>
      </c>
      <c r="K77" s="5">
        <v>105.6</v>
      </c>
      <c r="L77" s="5"/>
      <c r="M77" s="5">
        <v>104.3</v>
      </c>
      <c r="N77" s="5">
        <v>104.2</v>
      </c>
      <c r="O77" s="5"/>
      <c r="P77" s="5">
        <v>104.4</v>
      </c>
      <c r="Q77" s="21">
        <v>104.3</v>
      </c>
    </row>
    <row r="78" spans="1:21" ht="18.75" x14ac:dyDescent="0.3">
      <c r="A78" s="12" t="s">
        <v>39</v>
      </c>
      <c r="B78" s="7" t="s">
        <v>8</v>
      </c>
      <c r="C78" s="46">
        <v>308</v>
      </c>
      <c r="D78" s="76">
        <v>346.8</v>
      </c>
      <c r="E78" s="76">
        <v>482</v>
      </c>
      <c r="F78" s="119">
        <v>539.1</v>
      </c>
      <c r="G78" s="119">
        <v>450.4</v>
      </c>
      <c r="H78" s="119">
        <v>467.7</v>
      </c>
      <c r="I78" s="119">
        <v>486.2</v>
      </c>
      <c r="J78" s="135">
        <f>H78*J79*J80/10000</f>
        <v>475.38805259999998</v>
      </c>
      <c r="K78" s="119">
        <v>494.8</v>
      </c>
      <c r="L78" s="119"/>
      <c r="M78" s="135">
        <f>J78*M79*M80/10000</f>
        <v>483.36744106289092</v>
      </c>
      <c r="N78" s="119">
        <v>503.5</v>
      </c>
      <c r="O78" s="119"/>
      <c r="P78" s="135">
        <f>M78*P79*P80/10000</f>
        <v>491.64269165388754</v>
      </c>
      <c r="Q78" s="136">
        <v>512.4</v>
      </c>
      <c r="T78" s="145"/>
      <c r="U78" s="145"/>
    </row>
    <row r="79" spans="1:21" ht="93.75" x14ac:dyDescent="0.2">
      <c r="A79" s="17" t="s">
        <v>179</v>
      </c>
      <c r="B79" s="4" t="s">
        <v>28</v>
      </c>
      <c r="C79" s="29">
        <f>C78/289.6/C80*10000</f>
        <v>101.19276038080018</v>
      </c>
      <c r="D79" s="60">
        <f t="shared" ref="D79:I79" si="15">D78/C78/D80*10000</f>
        <v>108.68475154189441</v>
      </c>
      <c r="E79" s="60">
        <f t="shared" si="15"/>
        <v>134.02604220541244</v>
      </c>
      <c r="F79" s="29">
        <f t="shared" si="15"/>
        <v>99.419087136929463</v>
      </c>
      <c r="G79" s="29">
        <f t="shared" si="15"/>
        <v>76.089846837084949</v>
      </c>
      <c r="H79" s="29">
        <f>H78/G78/H80*10000</f>
        <v>94.918674767259503</v>
      </c>
      <c r="I79" s="29">
        <f t="shared" si="15"/>
        <v>93.99233910239829</v>
      </c>
      <c r="J79" s="29">
        <v>95.8</v>
      </c>
      <c r="K79" s="29">
        <f>K78/I78/K80*10000</f>
        <v>95.917831683202877</v>
      </c>
      <c r="L79" s="29"/>
      <c r="M79" s="29">
        <v>97.3</v>
      </c>
      <c r="N79" s="29">
        <f>N78/K78/N80*10000</f>
        <v>97.376350407878292</v>
      </c>
      <c r="O79" s="29"/>
      <c r="P79" s="29">
        <v>97.8</v>
      </c>
      <c r="Q79" s="29">
        <f>Q78/N78/Q80*10000</f>
        <v>97.853487128561611</v>
      </c>
    </row>
    <row r="80" spans="1:21" ht="57" customHeight="1" x14ac:dyDescent="0.2">
      <c r="A80" s="16" t="s">
        <v>40</v>
      </c>
      <c r="B80" s="4" t="s">
        <v>97</v>
      </c>
      <c r="C80" s="5">
        <v>105.1</v>
      </c>
      <c r="D80" s="61">
        <v>103.6</v>
      </c>
      <c r="E80" s="60">
        <v>103.7</v>
      </c>
      <c r="F80" s="29">
        <v>112.5</v>
      </c>
      <c r="G80" s="29">
        <v>109.8</v>
      </c>
      <c r="H80" s="29">
        <v>109.4</v>
      </c>
      <c r="I80" s="29">
        <v>110.6</v>
      </c>
      <c r="J80" s="29">
        <v>106.1</v>
      </c>
      <c r="K80" s="29">
        <v>106.1</v>
      </c>
      <c r="L80" s="29"/>
      <c r="M80" s="29">
        <v>104.5</v>
      </c>
      <c r="N80" s="29">
        <v>104.5</v>
      </c>
      <c r="O80" s="29"/>
      <c r="P80" s="29">
        <v>104</v>
      </c>
      <c r="Q80" s="29">
        <v>104</v>
      </c>
    </row>
    <row r="81" spans="1:21" ht="37.5" x14ac:dyDescent="0.2">
      <c r="A81" s="10" t="s">
        <v>146</v>
      </c>
      <c r="B81" s="4"/>
      <c r="C81" s="5"/>
      <c r="D81" s="61"/>
      <c r="E81" s="61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21"/>
    </row>
    <row r="82" spans="1:21" ht="40.5" customHeight="1" x14ac:dyDescent="0.2">
      <c r="A82" s="16" t="s">
        <v>115</v>
      </c>
      <c r="B82" s="4" t="s">
        <v>41</v>
      </c>
      <c r="C82" s="47">
        <v>152</v>
      </c>
      <c r="D82" s="77">
        <v>155</v>
      </c>
      <c r="E82" s="77">
        <v>148</v>
      </c>
      <c r="F82" s="120">
        <v>163</v>
      </c>
      <c r="G82" s="120">
        <v>171</v>
      </c>
      <c r="H82" s="120">
        <v>169</v>
      </c>
      <c r="I82" s="120">
        <v>160</v>
      </c>
      <c r="J82" s="120">
        <v>161</v>
      </c>
      <c r="K82" s="120">
        <v>162</v>
      </c>
      <c r="L82" s="120"/>
      <c r="M82" s="120">
        <v>162</v>
      </c>
      <c r="N82" s="120">
        <v>163</v>
      </c>
      <c r="O82" s="120"/>
      <c r="P82" s="120">
        <v>163</v>
      </c>
      <c r="Q82" s="120">
        <v>164</v>
      </c>
    </row>
    <row r="83" spans="1:21" ht="18.75" x14ac:dyDescent="0.2">
      <c r="A83" s="10" t="s">
        <v>147</v>
      </c>
      <c r="B83" s="4"/>
      <c r="C83" s="5"/>
      <c r="D83" s="61"/>
      <c r="E83" s="61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21" ht="93.75" x14ac:dyDescent="0.2">
      <c r="A84" s="10" t="s">
        <v>43</v>
      </c>
      <c r="B84" s="4" t="s">
        <v>109</v>
      </c>
      <c r="C84" s="36">
        <v>347.1</v>
      </c>
      <c r="D84" s="61">
        <f>D87</f>
        <v>541.90000000000009</v>
      </c>
      <c r="E84" s="62">
        <v>1408.7</v>
      </c>
      <c r="F84" s="41">
        <f>F87</f>
        <v>809.27499999999998</v>
      </c>
      <c r="G84" s="40">
        <f>G87</f>
        <v>828.2</v>
      </c>
      <c r="H84" s="40">
        <f>H87</f>
        <v>1273.4000000000001</v>
      </c>
      <c r="I84" s="40">
        <f>I87</f>
        <v>860</v>
      </c>
      <c r="J84" s="40">
        <f t="shared" ref="J84:P84" si="16">J87</f>
        <v>850</v>
      </c>
      <c r="K84" s="40">
        <f t="shared" si="16"/>
        <v>870</v>
      </c>
      <c r="L84" s="40">
        <f t="shared" si="16"/>
        <v>0</v>
      </c>
      <c r="M84" s="40">
        <f>M87</f>
        <v>890</v>
      </c>
      <c r="N84" s="40">
        <f t="shared" si="16"/>
        <v>910</v>
      </c>
      <c r="O84" s="40">
        <f t="shared" si="16"/>
        <v>0</v>
      </c>
      <c r="P84" s="40">
        <f t="shared" si="16"/>
        <v>935</v>
      </c>
      <c r="Q84" s="40">
        <f>Q87</f>
        <v>980</v>
      </c>
    </row>
    <row r="85" spans="1:21" ht="93.75" x14ac:dyDescent="0.2">
      <c r="A85" s="16" t="s">
        <v>44</v>
      </c>
      <c r="B85" s="4" t="s">
        <v>28</v>
      </c>
      <c r="C85" s="29">
        <f>C84/360.5/C86*10000</f>
        <v>90.74735189501439</v>
      </c>
      <c r="D85" s="60">
        <f t="shared" ref="D85:F85" si="17">D84/C84/D86*10000</f>
        <v>147.28505188543349</v>
      </c>
      <c r="E85" s="60">
        <f t="shared" si="17"/>
        <v>245.24123715647596</v>
      </c>
      <c r="F85" s="29">
        <f t="shared" si="17"/>
        <v>51.523189812443555</v>
      </c>
      <c r="G85" s="29">
        <f>G84/F84/G86*10000</f>
        <v>96.728273030675382</v>
      </c>
      <c r="H85" s="29">
        <f>H84/G84/H86*10000</f>
        <v>141.05975377130463</v>
      </c>
      <c r="I85" s="29">
        <f>I84/H84/I86*10000</f>
        <v>62.302334975603564</v>
      </c>
      <c r="J85" s="29">
        <f>J84/I84/J86*10000</f>
        <v>93.507293568898376</v>
      </c>
      <c r="K85" s="29">
        <f>K84/I84/K86*10000</f>
        <v>96.071026303584446</v>
      </c>
      <c r="L85" s="29"/>
      <c r="M85" s="29">
        <f>M84/J84/M86*10000</f>
        <v>100.2929907595222</v>
      </c>
      <c r="N85" s="29">
        <f>N84/K84/N86*10000</f>
        <v>100.18936891707402</v>
      </c>
      <c r="O85" s="29"/>
      <c r="P85" s="29">
        <f>P84/M84/P86*10000</f>
        <v>100.7250045784093</v>
      </c>
      <c r="Q85" s="29">
        <f>Q84/N84/Q86*10000</f>
        <v>103.25245224574084</v>
      </c>
    </row>
    <row r="86" spans="1:21" ht="56.25" x14ac:dyDescent="0.2">
      <c r="A86" s="16" t="s">
        <v>170</v>
      </c>
      <c r="B86" s="4" t="s">
        <v>97</v>
      </c>
      <c r="C86" s="5">
        <v>106.1</v>
      </c>
      <c r="D86" s="61">
        <v>106</v>
      </c>
      <c r="E86" s="58">
        <v>106</v>
      </c>
      <c r="F86" s="21">
        <v>111.5</v>
      </c>
      <c r="G86" s="21">
        <v>105.8</v>
      </c>
      <c r="H86" s="21">
        <v>109</v>
      </c>
      <c r="I86" s="21">
        <v>108.4</v>
      </c>
      <c r="J86" s="21">
        <v>105.7</v>
      </c>
      <c r="K86" s="21">
        <v>105.3</v>
      </c>
      <c r="L86" s="21"/>
      <c r="M86" s="21">
        <v>104.4</v>
      </c>
      <c r="N86" s="21">
        <v>104.4</v>
      </c>
      <c r="O86" s="21"/>
      <c r="P86" s="21">
        <v>104.3</v>
      </c>
      <c r="Q86" s="21">
        <v>104.3</v>
      </c>
    </row>
    <row r="87" spans="1:21" ht="93.75" customHeight="1" x14ac:dyDescent="0.2">
      <c r="A87" s="12" t="s">
        <v>45</v>
      </c>
      <c r="B87" s="4" t="s">
        <v>47</v>
      </c>
      <c r="C87" s="40">
        <f>C88+C89</f>
        <v>347.1</v>
      </c>
      <c r="D87" s="59">
        <f t="shared" ref="D87" si="18">D88+D89</f>
        <v>541.90000000000009</v>
      </c>
      <c r="E87" s="62">
        <f>E88+E89</f>
        <v>1408.7</v>
      </c>
      <c r="F87" s="41">
        <f>F88+F89</f>
        <v>809.27499999999998</v>
      </c>
      <c r="G87" s="41">
        <f>G88+G89</f>
        <v>828.2</v>
      </c>
      <c r="H87" s="41">
        <f>H88+H89</f>
        <v>1273.4000000000001</v>
      </c>
      <c r="I87" s="41">
        <f>I88+I89</f>
        <v>860</v>
      </c>
      <c r="J87" s="41">
        <f t="shared" ref="J87" si="19">J88+J89</f>
        <v>850</v>
      </c>
      <c r="K87" s="41">
        <f t="shared" ref="K87:Q87" si="20">K88+K89</f>
        <v>870</v>
      </c>
      <c r="L87" s="41">
        <f t="shared" si="20"/>
        <v>0</v>
      </c>
      <c r="M87" s="41">
        <f>M88+M89</f>
        <v>890</v>
      </c>
      <c r="N87" s="41">
        <f>N88+N89</f>
        <v>910</v>
      </c>
      <c r="O87" s="41">
        <f t="shared" si="20"/>
        <v>0</v>
      </c>
      <c r="P87" s="41">
        <f t="shared" ref="P87" si="21">P88+P89</f>
        <v>935</v>
      </c>
      <c r="Q87" s="41">
        <f t="shared" si="20"/>
        <v>980</v>
      </c>
      <c r="U87" s="93"/>
    </row>
    <row r="88" spans="1:21" ht="18.75" x14ac:dyDescent="0.2">
      <c r="A88" s="17" t="s">
        <v>46</v>
      </c>
      <c r="B88" s="4" t="s">
        <v>47</v>
      </c>
      <c r="C88" s="5">
        <v>169.4</v>
      </c>
      <c r="D88" s="61">
        <v>168.8</v>
      </c>
      <c r="E88" s="60">
        <v>966.9</v>
      </c>
      <c r="F88" s="29">
        <v>126.812</v>
      </c>
      <c r="G88" s="29">
        <v>318.2</v>
      </c>
      <c r="H88" s="29">
        <v>811.4</v>
      </c>
      <c r="I88" s="29">
        <v>345</v>
      </c>
      <c r="J88" s="29">
        <v>350</v>
      </c>
      <c r="K88" s="29">
        <v>350</v>
      </c>
      <c r="L88" s="29">
        <f t="shared" ref="L88:O88" si="22">L93</f>
        <v>0</v>
      </c>
      <c r="M88" s="29">
        <v>380</v>
      </c>
      <c r="N88" s="29">
        <v>390</v>
      </c>
      <c r="O88" s="29">
        <f t="shared" si="22"/>
        <v>0</v>
      </c>
      <c r="P88" s="29">
        <v>420</v>
      </c>
      <c r="Q88" s="29">
        <v>450</v>
      </c>
    </row>
    <row r="89" spans="1:21" ht="18.75" x14ac:dyDescent="0.2">
      <c r="A89" s="17" t="s">
        <v>161</v>
      </c>
      <c r="B89" s="4" t="s">
        <v>47</v>
      </c>
      <c r="C89" s="5">
        <v>177.7</v>
      </c>
      <c r="D89" s="61">
        <v>373.1</v>
      </c>
      <c r="E89" s="60">
        <v>441.8</v>
      </c>
      <c r="F89" s="29">
        <v>682.46299999999997</v>
      </c>
      <c r="G89" s="29">
        <v>510</v>
      </c>
      <c r="H89" s="29">
        <v>462</v>
      </c>
      <c r="I89" s="29">
        <v>515</v>
      </c>
      <c r="J89" s="29">
        <v>500</v>
      </c>
      <c r="K89" s="29">
        <v>520</v>
      </c>
      <c r="L89" s="29"/>
      <c r="M89" s="29">
        <v>510</v>
      </c>
      <c r="N89" s="29">
        <v>520</v>
      </c>
      <c r="O89" s="29"/>
      <c r="P89" s="29">
        <v>515</v>
      </c>
      <c r="Q89" s="29">
        <v>530</v>
      </c>
    </row>
    <row r="90" spans="1:21" ht="18.75" x14ac:dyDescent="0.2">
      <c r="A90" s="16" t="s">
        <v>162</v>
      </c>
      <c r="B90" s="4" t="s">
        <v>47</v>
      </c>
      <c r="C90" s="4"/>
      <c r="D90" s="75" t="s">
        <v>54</v>
      </c>
      <c r="E90" s="107"/>
      <c r="F90" s="4"/>
      <c r="G90" s="121"/>
      <c r="H90" s="121"/>
      <c r="I90" s="121"/>
      <c r="J90" s="4"/>
      <c r="K90" s="4"/>
      <c r="L90" s="4"/>
      <c r="M90" s="121"/>
      <c r="N90" s="121"/>
      <c r="O90" s="4"/>
      <c r="P90" s="4"/>
      <c r="Q90" s="4"/>
    </row>
    <row r="91" spans="1:21" ht="18.75" x14ac:dyDescent="0.2">
      <c r="A91" s="16" t="s">
        <v>163</v>
      </c>
      <c r="B91" s="4" t="s">
        <v>47</v>
      </c>
      <c r="C91" s="4"/>
      <c r="D91" s="75"/>
      <c r="E91" s="107"/>
      <c r="F91" s="4"/>
      <c r="G91" s="121"/>
      <c r="H91" s="121"/>
      <c r="I91" s="121"/>
      <c r="J91" s="4"/>
      <c r="K91" s="4"/>
      <c r="L91" s="4"/>
      <c r="M91" s="121"/>
      <c r="N91" s="121"/>
      <c r="O91" s="4"/>
      <c r="P91" s="4"/>
      <c r="Q91" s="4"/>
    </row>
    <row r="92" spans="1:21" ht="18.75" x14ac:dyDescent="0.2">
      <c r="A92" s="16" t="s">
        <v>48</v>
      </c>
      <c r="B92" s="4" t="s">
        <v>47</v>
      </c>
      <c r="C92" s="4"/>
      <c r="D92" s="75"/>
      <c r="E92" s="107"/>
      <c r="F92" s="4"/>
      <c r="G92" s="121"/>
      <c r="H92" s="121"/>
      <c r="I92" s="121"/>
      <c r="J92" s="4"/>
      <c r="K92" s="4"/>
      <c r="L92" s="4"/>
      <c r="M92" s="121"/>
      <c r="N92" s="121"/>
      <c r="O92" s="4"/>
      <c r="P92" s="4"/>
      <c r="Q92" s="4"/>
    </row>
    <row r="93" spans="1:21" ht="18.75" x14ac:dyDescent="0.2">
      <c r="A93" s="16" t="s">
        <v>49</v>
      </c>
      <c r="B93" s="4" t="s">
        <v>47</v>
      </c>
      <c r="C93" s="5">
        <f>C95+C96+C97</f>
        <v>89.8</v>
      </c>
      <c r="D93" s="61">
        <f t="shared" ref="D93:F93" si="23">D95+D96+D97</f>
        <v>325</v>
      </c>
      <c r="E93" s="60">
        <f t="shared" si="23"/>
        <v>93.5</v>
      </c>
      <c r="F93" s="29">
        <f t="shared" si="23"/>
        <v>576.774</v>
      </c>
      <c r="G93" s="29">
        <f>G95+G96+G97</f>
        <v>317.2</v>
      </c>
      <c r="H93" s="29">
        <f>H95+H96+H97</f>
        <v>173.1</v>
      </c>
      <c r="I93" s="5">
        <f t="shared" ref="I93:Q93" si="24">I95+I96+I97</f>
        <v>249.49999999999997</v>
      </c>
      <c r="J93" s="29">
        <f t="shared" si="24"/>
        <v>27.6</v>
      </c>
      <c r="K93" s="5">
        <f t="shared" si="24"/>
        <v>27.6</v>
      </c>
      <c r="L93" s="5">
        <f t="shared" si="24"/>
        <v>0</v>
      </c>
      <c r="M93" s="5">
        <f t="shared" si="24"/>
        <v>22.900000000000002</v>
      </c>
      <c r="N93" s="5">
        <f t="shared" si="24"/>
        <v>22.900000000000002</v>
      </c>
      <c r="O93" s="29">
        <f t="shared" si="24"/>
        <v>0</v>
      </c>
      <c r="P93" s="29">
        <f t="shared" si="24"/>
        <v>25.5</v>
      </c>
      <c r="Q93" s="29">
        <f t="shared" si="24"/>
        <v>25.5</v>
      </c>
      <c r="T93" s="131"/>
    </row>
    <row r="94" spans="1:21" ht="18.75" x14ac:dyDescent="0.2">
      <c r="A94" s="16" t="s">
        <v>19</v>
      </c>
      <c r="B94" s="4"/>
      <c r="C94" s="5"/>
      <c r="D94" s="61"/>
      <c r="E94" s="60"/>
      <c r="F94" s="29"/>
      <c r="G94" s="29"/>
      <c r="H94" s="29"/>
      <c r="I94" s="5"/>
      <c r="J94" s="29"/>
      <c r="K94" s="5"/>
      <c r="L94" s="5"/>
      <c r="M94" s="5"/>
      <c r="N94" s="5"/>
      <c r="O94" s="29"/>
      <c r="P94" s="29"/>
      <c r="Q94" s="29"/>
    </row>
    <row r="95" spans="1:21" ht="18.75" x14ac:dyDescent="0.2">
      <c r="A95" s="17" t="s">
        <v>164</v>
      </c>
      <c r="B95" s="4" t="s">
        <v>47</v>
      </c>
      <c r="C95" s="5">
        <v>71.099999999999994</v>
      </c>
      <c r="D95" s="61">
        <v>246.7</v>
      </c>
      <c r="E95" s="60">
        <v>55.7</v>
      </c>
      <c r="F95" s="29">
        <v>325.43</v>
      </c>
      <c r="G95" s="29">
        <v>115</v>
      </c>
      <c r="H95" s="29">
        <v>68</v>
      </c>
      <c r="I95" s="5">
        <v>12.2</v>
      </c>
      <c r="J95" s="5">
        <v>17.3</v>
      </c>
      <c r="K95" s="5">
        <v>17.3</v>
      </c>
      <c r="L95" s="5"/>
      <c r="M95" s="5">
        <v>12.6</v>
      </c>
      <c r="N95" s="5">
        <v>12.6</v>
      </c>
      <c r="O95" s="29"/>
      <c r="P95" s="29">
        <v>15</v>
      </c>
      <c r="Q95" s="29">
        <v>15</v>
      </c>
    </row>
    <row r="96" spans="1:21" ht="18.75" x14ac:dyDescent="0.2">
      <c r="A96" s="17" t="s">
        <v>165</v>
      </c>
      <c r="B96" s="4" t="s">
        <v>47</v>
      </c>
      <c r="C96" s="5">
        <v>11.9</v>
      </c>
      <c r="D96" s="61">
        <v>62.7</v>
      </c>
      <c r="E96" s="60">
        <v>26.4</v>
      </c>
      <c r="F96" s="29">
        <v>156.88999999999999</v>
      </c>
      <c r="G96" s="29">
        <v>101.7</v>
      </c>
      <c r="H96" s="29">
        <v>41.1</v>
      </c>
      <c r="I96" s="5">
        <v>225.1</v>
      </c>
      <c r="J96" s="5">
        <v>10</v>
      </c>
      <c r="K96" s="5">
        <v>10</v>
      </c>
      <c r="L96" s="5"/>
      <c r="M96" s="5">
        <v>10</v>
      </c>
      <c r="N96" s="5">
        <v>10</v>
      </c>
      <c r="O96" s="29"/>
      <c r="P96" s="29">
        <v>10</v>
      </c>
      <c r="Q96" s="29">
        <v>10</v>
      </c>
    </row>
    <row r="97" spans="1:17" ht="18.75" x14ac:dyDescent="0.2">
      <c r="A97" s="17" t="s">
        <v>166</v>
      </c>
      <c r="B97" s="4" t="s">
        <v>47</v>
      </c>
      <c r="C97" s="5">
        <v>6.8</v>
      </c>
      <c r="D97" s="61">
        <v>15.6</v>
      </c>
      <c r="E97" s="60">
        <v>11.4</v>
      </c>
      <c r="F97" s="29">
        <v>94.453999999999994</v>
      </c>
      <c r="G97" s="29">
        <v>100.5</v>
      </c>
      <c r="H97" s="29">
        <v>64</v>
      </c>
      <c r="I97" s="5">
        <v>12.2</v>
      </c>
      <c r="J97" s="5">
        <v>0.3</v>
      </c>
      <c r="K97" s="5">
        <v>0.3</v>
      </c>
      <c r="L97" s="5"/>
      <c r="M97" s="5">
        <v>0.3</v>
      </c>
      <c r="N97" s="5">
        <v>0.3</v>
      </c>
      <c r="O97" s="29"/>
      <c r="P97" s="29">
        <v>0.5</v>
      </c>
      <c r="Q97" s="29">
        <v>0.5</v>
      </c>
    </row>
    <row r="98" spans="1:17" ht="18.75" x14ac:dyDescent="0.2">
      <c r="A98" s="16" t="s">
        <v>50</v>
      </c>
      <c r="B98" s="4" t="s">
        <v>47</v>
      </c>
      <c r="C98" s="5"/>
      <c r="D98" s="61"/>
      <c r="E98" s="60"/>
      <c r="F98" s="29">
        <v>64.748000000000005</v>
      </c>
      <c r="G98" s="29">
        <v>27.1</v>
      </c>
      <c r="H98" s="29">
        <v>53.1</v>
      </c>
      <c r="I98" s="5">
        <v>0</v>
      </c>
      <c r="J98" s="5">
        <v>0</v>
      </c>
      <c r="K98" s="5">
        <v>0</v>
      </c>
      <c r="L98" s="5"/>
      <c r="M98" s="5">
        <v>0</v>
      </c>
      <c r="N98" s="5">
        <v>0</v>
      </c>
      <c r="O98" s="29"/>
      <c r="P98" s="29">
        <v>0</v>
      </c>
      <c r="Q98" s="29">
        <v>0</v>
      </c>
    </row>
    <row r="99" spans="1:17" ht="57.75" customHeight="1" x14ac:dyDescent="0.2">
      <c r="A99" s="10" t="s">
        <v>148</v>
      </c>
      <c r="B99" s="11"/>
      <c r="C99" s="5"/>
      <c r="D99" s="61"/>
      <c r="E99" s="60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8.75" x14ac:dyDescent="0.2">
      <c r="A100" s="12" t="s">
        <v>149</v>
      </c>
      <c r="B100" s="11" t="s">
        <v>8</v>
      </c>
      <c r="C100" s="40">
        <v>1357.6999999999998</v>
      </c>
      <c r="D100" s="67">
        <v>1929.4</v>
      </c>
      <c r="E100" s="62">
        <f>E102+E111+E112</f>
        <v>1979</v>
      </c>
      <c r="F100" s="40">
        <v>2498.28727617</v>
      </c>
      <c r="G100" s="41">
        <f>G102+G111+G112</f>
        <v>2689.9</v>
      </c>
      <c r="H100" s="41">
        <f>H102+H111+H112</f>
        <v>2632.2</v>
      </c>
      <c r="I100" s="40">
        <f t="shared" ref="I100:Q100" si="25">I102+I111+I112</f>
        <v>2815.3</v>
      </c>
      <c r="J100" s="40">
        <f t="shared" si="25"/>
        <v>2516.6</v>
      </c>
      <c r="K100" s="40">
        <f t="shared" si="25"/>
        <v>2516.6</v>
      </c>
      <c r="L100" s="40">
        <f t="shared" si="25"/>
        <v>0</v>
      </c>
      <c r="M100" s="40">
        <f t="shared" si="25"/>
        <v>2770.2</v>
      </c>
      <c r="N100" s="40">
        <f t="shared" si="25"/>
        <v>2770.2</v>
      </c>
      <c r="O100" s="40">
        <f t="shared" si="25"/>
        <v>0</v>
      </c>
      <c r="P100" s="40">
        <f t="shared" si="25"/>
        <v>2904.5</v>
      </c>
      <c r="Q100" s="40">
        <f t="shared" si="25"/>
        <v>2904.5</v>
      </c>
    </row>
    <row r="101" spans="1:17" ht="21.75" customHeight="1" x14ac:dyDescent="0.2">
      <c r="A101" s="15" t="s">
        <v>113</v>
      </c>
      <c r="B101" s="14" t="s">
        <v>51</v>
      </c>
      <c r="C101" s="5">
        <v>531.79999999999995</v>
      </c>
      <c r="D101" s="64">
        <v>616</v>
      </c>
      <c r="E101" s="60">
        <v>671.3</v>
      </c>
      <c r="F101" s="5">
        <v>736.2575124</v>
      </c>
      <c r="G101" s="29">
        <v>836.4</v>
      </c>
      <c r="H101" s="29">
        <f>957.7</f>
        <v>957.7</v>
      </c>
      <c r="I101" s="5">
        <v>859.4</v>
      </c>
      <c r="J101" s="5">
        <v>914.7</v>
      </c>
      <c r="K101" s="5">
        <v>914.7</v>
      </c>
      <c r="L101" s="5"/>
      <c r="M101" s="5">
        <v>978.4</v>
      </c>
      <c r="N101" s="5">
        <v>978.4</v>
      </c>
      <c r="O101" s="5"/>
      <c r="P101" s="5">
        <v>1028.0999999999999</v>
      </c>
      <c r="Q101" s="5">
        <v>1028.0999999999999</v>
      </c>
    </row>
    <row r="102" spans="1:17" ht="18.75" x14ac:dyDescent="0.2">
      <c r="A102" s="13" t="s">
        <v>150</v>
      </c>
      <c r="B102" s="14" t="s">
        <v>51</v>
      </c>
      <c r="C102" s="40">
        <v>391.1</v>
      </c>
      <c r="D102" s="67">
        <v>454.6</v>
      </c>
      <c r="E102" s="62">
        <v>506.4</v>
      </c>
      <c r="F102" s="40">
        <v>582.7696761200001</v>
      </c>
      <c r="G102" s="41">
        <f>518.2+61.4+35.2+45.9+6.4</f>
        <v>667.1</v>
      </c>
      <c r="H102" s="41">
        <f>619.5+68.4+50+52.6+14.4</f>
        <v>804.9</v>
      </c>
      <c r="I102" s="40">
        <v>745.7</v>
      </c>
      <c r="J102" s="40">
        <v>814.7</v>
      </c>
      <c r="K102" s="40">
        <v>814.7</v>
      </c>
      <c r="L102" s="40"/>
      <c r="M102" s="40">
        <v>878.4</v>
      </c>
      <c r="N102" s="40">
        <v>878.4</v>
      </c>
      <c r="O102" s="40"/>
      <c r="P102" s="40">
        <v>928.1</v>
      </c>
      <c r="Q102" s="40">
        <v>928.1</v>
      </c>
    </row>
    <row r="103" spans="1:17" ht="18.75" x14ac:dyDescent="0.2">
      <c r="A103" s="15" t="s">
        <v>19</v>
      </c>
      <c r="B103" s="14"/>
      <c r="C103" s="5"/>
      <c r="D103" s="64"/>
      <c r="E103" s="60"/>
      <c r="F103" s="5"/>
      <c r="G103" s="29"/>
      <c r="H103" s="29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8.75" x14ac:dyDescent="0.2">
      <c r="A104" s="15" t="s">
        <v>1</v>
      </c>
      <c r="B104" s="14" t="s">
        <v>51</v>
      </c>
      <c r="C104" s="5">
        <v>302.8</v>
      </c>
      <c r="D104" s="64">
        <v>362.3</v>
      </c>
      <c r="E104" s="60">
        <v>385.3</v>
      </c>
      <c r="F104" s="5">
        <v>435.72767018999997</v>
      </c>
      <c r="G104" s="29">
        <v>518.20000000000005</v>
      </c>
      <c r="H104" s="29">
        <v>619.5</v>
      </c>
      <c r="I104" s="5">
        <v>530.29999999999995</v>
      </c>
      <c r="J104" s="5">
        <v>588.6</v>
      </c>
      <c r="K104" s="5">
        <v>588.6</v>
      </c>
      <c r="L104" s="5"/>
      <c r="M104" s="5">
        <v>624</v>
      </c>
      <c r="N104" s="5">
        <v>624</v>
      </c>
      <c r="O104" s="5"/>
      <c r="P104" s="5">
        <v>667.6</v>
      </c>
      <c r="Q104" s="5">
        <v>667.6</v>
      </c>
    </row>
    <row r="105" spans="1:17" ht="18.75" x14ac:dyDescent="0.2">
      <c r="A105" s="15" t="s">
        <v>26</v>
      </c>
      <c r="B105" s="14" t="s">
        <v>51</v>
      </c>
      <c r="C105" s="5">
        <v>37.700000000000003</v>
      </c>
      <c r="D105" s="64">
        <v>37.4</v>
      </c>
      <c r="E105" s="60">
        <v>43.1</v>
      </c>
      <c r="F105" s="5">
        <v>55.681584319999999</v>
      </c>
      <c r="G105" s="29">
        <v>61.4</v>
      </c>
      <c r="H105" s="29">
        <v>68.400000000000006</v>
      </c>
      <c r="I105" s="5">
        <v>70.2</v>
      </c>
      <c r="J105" s="5">
        <v>76.900000000000006</v>
      </c>
      <c r="K105" s="5">
        <v>76.900000000000006</v>
      </c>
      <c r="L105" s="5"/>
      <c r="M105" s="5">
        <v>103.5</v>
      </c>
      <c r="N105" s="5">
        <v>103.5</v>
      </c>
      <c r="O105" s="5"/>
      <c r="P105" s="5">
        <v>107.9</v>
      </c>
      <c r="Q105" s="5">
        <v>107.9</v>
      </c>
    </row>
    <row r="106" spans="1:17" ht="37.5" x14ac:dyDescent="0.2">
      <c r="A106" s="15" t="s">
        <v>2</v>
      </c>
      <c r="B106" s="14" t="s">
        <v>51</v>
      </c>
      <c r="C106" s="5">
        <v>0</v>
      </c>
      <c r="D106" s="64">
        <v>0</v>
      </c>
      <c r="E106" s="60">
        <v>17.8</v>
      </c>
      <c r="F106" s="5">
        <v>24.975785100000003</v>
      </c>
      <c r="G106" s="29">
        <v>32.1</v>
      </c>
      <c r="H106" s="29">
        <v>43.3</v>
      </c>
      <c r="I106" s="5">
        <v>52.3</v>
      </c>
      <c r="J106" s="5">
        <v>53.1</v>
      </c>
      <c r="K106" s="5">
        <v>53.1</v>
      </c>
      <c r="L106" s="5"/>
      <c r="M106" s="5">
        <v>54.1</v>
      </c>
      <c r="N106" s="5">
        <v>54.1</v>
      </c>
      <c r="O106" s="5"/>
      <c r="P106" s="5">
        <v>55.2</v>
      </c>
      <c r="Q106" s="5">
        <v>55.2</v>
      </c>
    </row>
    <row r="107" spans="1:17" ht="18" customHeight="1" x14ac:dyDescent="0.2">
      <c r="A107" s="15" t="s">
        <v>3</v>
      </c>
      <c r="B107" s="14" t="s">
        <v>51</v>
      </c>
      <c r="C107" s="5">
        <v>6.6</v>
      </c>
      <c r="D107" s="64">
        <v>9.6</v>
      </c>
      <c r="E107" s="60">
        <v>12</v>
      </c>
      <c r="F107" s="5">
        <v>12.159426289999999</v>
      </c>
      <c r="G107" s="29">
        <v>12.7</v>
      </c>
      <c r="H107" s="29">
        <v>13.3</v>
      </c>
      <c r="I107" s="5">
        <v>12.8</v>
      </c>
      <c r="J107" s="5">
        <v>12.8</v>
      </c>
      <c r="K107" s="5">
        <v>12.8</v>
      </c>
      <c r="L107" s="5"/>
      <c r="M107" s="5">
        <v>12.8</v>
      </c>
      <c r="N107" s="5">
        <v>12.8</v>
      </c>
      <c r="O107" s="5"/>
      <c r="P107" s="5">
        <v>12.8</v>
      </c>
      <c r="Q107" s="5">
        <v>12.8</v>
      </c>
    </row>
    <row r="108" spans="1:17" ht="18.75" x14ac:dyDescent="0.2">
      <c r="A108" s="15" t="s">
        <v>4</v>
      </c>
      <c r="B108" s="14" t="s">
        <v>51</v>
      </c>
      <c r="C108" s="22">
        <v>0</v>
      </c>
      <c r="D108" s="78">
        <v>0</v>
      </c>
      <c r="E108" s="108">
        <v>0</v>
      </c>
      <c r="F108" s="5">
        <v>0</v>
      </c>
      <c r="G108" s="137">
        <v>0</v>
      </c>
      <c r="H108" s="137">
        <v>0</v>
      </c>
      <c r="I108" s="22">
        <v>0</v>
      </c>
      <c r="J108" s="22">
        <v>0</v>
      </c>
      <c r="K108" s="22">
        <v>0</v>
      </c>
      <c r="L108" s="22"/>
      <c r="M108" s="22">
        <v>0</v>
      </c>
      <c r="N108" s="22">
        <v>0</v>
      </c>
      <c r="O108" s="22"/>
      <c r="P108" s="22">
        <v>0</v>
      </c>
      <c r="Q108" s="22">
        <v>0</v>
      </c>
    </row>
    <row r="109" spans="1:17" ht="18.75" x14ac:dyDescent="0.2">
      <c r="A109" s="15" t="s">
        <v>5</v>
      </c>
      <c r="B109" s="14" t="s">
        <v>51</v>
      </c>
      <c r="C109" s="5">
        <v>31.1</v>
      </c>
      <c r="D109" s="64">
        <v>32.9</v>
      </c>
      <c r="E109" s="60">
        <v>33.1</v>
      </c>
      <c r="F109" s="5">
        <v>40.18584791</v>
      </c>
      <c r="G109" s="29">
        <v>33.200000000000003</v>
      </c>
      <c r="H109" s="29">
        <v>39.200000000000003</v>
      </c>
      <c r="I109" s="5">
        <v>41.4</v>
      </c>
      <c r="J109" s="5">
        <v>41.4</v>
      </c>
      <c r="K109" s="5">
        <v>41.4</v>
      </c>
      <c r="L109" s="5"/>
      <c r="M109" s="5">
        <v>41.5</v>
      </c>
      <c r="N109" s="5">
        <v>41.5</v>
      </c>
      <c r="O109" s="5"/>
      <c r="P109" s="5">
        <v>41.5</v>
      </c>
      <c r="Q109" s="5">
        <v>41.5</v>
      </c>
    </row>
    <row r="110" spans="1:17" ht="18.75" x14ac:dyDescent="0.2">
      <c r="A110" s="15" t="s">
        <v>171</v>
      </c>
      <c r="B110" s="14" t="s">
        <v>51</v>
      </c>
      <c r="C110" s="5">
        <v>5.9</v>
      </c>
      <c r="D110" s="64">
        <v>6.4</v>
      </c>
      <c r="E110" s="60">
        <v>6.4</v>
      </c>
      <c r="F110" s="5">
        <v>7.0030728399999997</v>
      </c>
      <c r="G110" s="29">
        <v>6.4</v>
      </c>
      <c r="H110" s="29">
        <v>14.4</v>
      </c>
      <c r="I110" s="5">
        <v>30.9</v>
      </c>
      <c r="J110" s="5">
        <v>34</v>
      </c>
      <c r="K110" s="5">
        <v>34</v>
      </c>
      <c r="L110" s="5"/>
      <c r="M110" s="5">
        <v>34.299999999999997</v>
      </c>
      <c r="N110" s="5">
        <v>34.299999999999997</v>
      </c>
      <c r="O110" s="5"/>
      <c r="P110" s="5">
        <v>34.6</v>
      </c>
      <c r="Q110" s="5">
        <v>34.6</v>
      </c>
    </row>
    <row r="111" spans="1:17" ht="18.75" x14ac:dyDescent="0.2">
      <c r="A111" s="10" t="s">
        <v>6</v>
      </c>
      <c r="B111" s="11" t="s">
        <v>51</v>
      </c>
      <c r="C111" s="40">
        <v>140.69999999999999</v>
      </c>
      <c r="D111" s="67">
        <v>161.5</v>
      </c>
      <c r="E111" s="62">
        <f t="shared" ref="E111:J111" si="26">E101-E102</f>
        <v>164.89999999999998</v>
      </c>
      <c r="F111" s="40">
        <f t="shared" si="26"/>
        <v>153.4878362799999</v>
      </c>
      <c r="G111" s="40">
        <f t="shared" si="26"/>
        <v>169.29999999999995</v>
      </c>
      <c r="H111" s="40">
        <f t="shared" si="26"/>
        <v>152.80000000000007</v>
      </c>
      <c r="I111" s="40">
        <f t="shared" si="26"/>
        <v>113.69999999999993</v>
      </c>
      <c r="J111" s="40">
        <f t="shared" si="26"/>
        <v>100</v>
      </c>
      <c r="K111" s="40">
        <f t="shared" ref="K111:Q111" si="27">K101-K102</f>
        <v>100</v>
      </c>
      <c r="L111" s="40">
        <f t="shared" si="27"/>
        <v>0</v>
      </c>
      <c r="M111" s="40">
        <f t="shared" ref="M111" si="28">M101-M102</f>
        <v>100</v>
      </c>
      <c r="N111" s="40">
        <f t="shared" si="27"/>
        <v>100</v>
      </c>
      <c r="O111" s="40">
        <f t="shared" si="27"/>
        <v>0</v>
      </c>
      <c r="P111" s="40">
        <f t="shared" ref="P111" si="29">P101-P102</f>
        <v>99.999999999999886</v>
      </c>
      <c r="Q111" s="40">
        <f t="shared" si="27"/>
        <v>99.999999999999886</v>
      </c>
    </row>
    <row r="112" spans="1:17" ht="18.75" x14ac:dyDescent="0.2">
      <c r="A112" s="10" t="s">
        <v>82</v>
      </c>
      <c r="B112" s="11" t="s">
        <v>51</v>
      </c>
      <c r="C112" s="40">
        <v>825.9</v>
      </c>
      <c r="D112" s="67">
        <v>1313.4</v>
      </c>
      <c r="E112" s="62">
        <v>1307.7</v>
      </c>
      <c r="F112" s="40">
        <v>1762.02976377</v>
      </c>
      <c r="G112" s="41">
        <v>1853.5</v>
      </c>
      <c r="H112" s="41">
        <v>1674.5</v>
      </c>
      <c r="I112" s="40">
        <f>1946.9+9</f>
        <v>1955.9</v>
      </c>
      <c r="J112" s="40">
        <f>J114+J115+J116+74.6</f>
        <v>1601.8999999999999</v>
      </c>
      <c r="K112" s="40">
        <f>K114+K115+K116+74.6</f>
        <v>1601.8999999999999</v>
      </c>
      <c r="L112" s="40"/>
      <c r="M112" s="40">
        <f>M114+M115+M116+74.2</f>
        <v>1791.8</v>
      </c>
      <c r="N112" s="40">
        <f>N114+N115+N116+74.2</f>
        <v>1791.8</v>
      </c>
      <c r="O112" s="40"/>
      <c r="P112" s="40">
        <f>P114+P115+P116+76</f>
        <v>1876.4</v>
      </c>
      <c r="Q112" s="40">
        <f>Q114+Q115+Q116+76</f>
        <v>1876.4</v>
      </c>
    </row>
    <row r="113" spans="1:17" ht="18.75" x14ac:dyDescent="0.2">
      <c r="A113" s="16" t="s">
        <v>19</v>
      </c>
      <c r="B113" s="11"/>
      <c r="C113" s="5"/>
      <c r="D113" s="72"/>
      <c r="E113" s="61"/>
      <c r="F113" s="5"/>
      <c r="G113" s="29"/>
      <c r="H113" s="29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8.75" x14ac:dyDescent="0.2">
      <c r="A114" s="16" t="s">
        <v>151</v>
      </c>
      <c r="B114" s="11" t="s">
        <v>51</v>
      </c>
      <c r="C114" s="5">
        <v>153.30000000000001</v>
      </c>
      <c r="D114" s="64">
        <v>496.9</v>
      </c>
      <c r="E114" s="61">
        <v>217.5</v>
      </c>
      <c r="F114" s="5">
        <v>503.68436147000006</v>
      </c>
      <c r="G114" s="29">
        <v>561.9</v>
      </c>
      <c r="H114" s="29">
        <v>357.6</v>
      </c>
      <c r="I114" s="5">
        <f>538.4+9</f>
        <v>547.4</v>
      </c>
      <c r="J114" s="5">
        <v>260</v>
      </c>
      <c r="K114" s="5">
        <v>260</v>
      </c>
      <c r="L114" s="5"/>
      <c r="M114" s="5">
        <v>448</v>
      </c>
      <c r="N114" s="5">
        <v>448</v>
      </c>
      <c r="O114" s="5"/>
      <c r="P114" s="5">
        <v>470.4</v>
      </c>
      <c r="Q114" s="5">
        <v>470.4</v>
      </c>
    </row>
    <row r="115" spans="1:17" ht="18.75" x14ac:dyDescent="0.2">
      <c r="A115" s="16" t="s">
        <v>152</v>
      </c>
      <c r="B115" s="11" t="s">
        <v>51</v>
      </c>
      <c r="C115" s="5">
        <v>604.5</v>
      </c>
      <c r="D115" s="64">
        <v>741.3</v>
      </c>
      <c r="E115" s="61">
        <v>856.8</v>
      </c>
      <c r="F115" s="5">
        <v>887.90432913999996</v>
      </c>
      <c r="G115" s="29">
        <v>1008.5</v>
      </c>
      <c r="H115" s="29">
        <v>1066.3</v>
      </c>
      <c r="I115" s="5">
        <v>1146.7</v>
      </c>
      <c r="J115" s="5">
        <v>1146.5</v>
      </c>
      <c r="K115" s="5">
        <v>1146.5</v>
      </c>
      <c r="L115" s="5"/>
      <c r="M115" s="5">
        <v>1147.5999999999999</v>
      </c>
      <c r="N115" s="5">
        <v>1147.5999999999999</v>
      </c>
      <c r="O115" s="5"/>
      <c r="P115" s="5">
        <v>1205</v>
      </c>
      <c r="Q115" s="5">
        <v>1205</v>
      </c>
    </row>
    <row r="116" spans="1:17" ht="18.75" x14ac:dyDescent="0.2">
      <c r="A116" s="16" t="s">
        <v>153</v>
      </c>
      <c r="B116" s="11" t="s">
        <v>51</v>
      </c>
      <c r="C116" s="5">
        <v>50.2</v>
      </c>
      <c r="D116" s="64">
        <v>57.7</v>
      </c>
      <c r="E116" s="61">
        <v>180.3</v>
      </c>
      <c r="F116" s="5">
        <v>328.53899999999999</v>
      </c>
      <c r="G116" s="29">
        <v>232.7</v>
      </c>
      <c r="H116" s="29">
        <v>158.69999999999999</v>
      </c>
      <c r="I116" s="5">
        <v>168.6</v>
      </c>
      <c r="J116" s="5">
        <v>120.8</v>
      </c>
      <c r="K116" s="5">
        <v>120.8</v>
      </c>
      <c r="L116" s="5"/>
      <c r="M116" s="5">
        <v>122</v>
      </c>
      <c r="N116" s="5">
        <v>122</v>
      </c>
      <c r="O116" s="5"/>
      <c r="P116" s="5">
        <v>125</v>
      </c>
      <c r="Q116" s="5">
        <v>125</v>
      </c>
    </row>
    <row r="117" spans="1:17" ht="18.75" x14ac:dyDescent="0.2">
      <c r="A117" s="16" t="s">
        <v>19</v>
      </c>
      <c r="B117" s="31"/>
      <c r="C117" s="5"/>
      <c r="D117" s="72"/>
      <c r="E117" s="61"/>
      <c r="F117" s="5"/>
      <c r="G117" s="29"/>
      <c r="H117" s="29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37.5" x14ac:dyDescent="0.2">
      <c r="A118" s="16" t="s">
        <v>83</v>
      </c>
      <c r="B118" s="11" t="s">
        <v>51</v>
      </c>
      <c r="C118" s="5">
        <v>17.899999999999999</v>
      </c>
      <c r="D118" s="64">
        <v>40.5</v>
      </c>
      <c r="E118" s="61">
        <v>29.6</v>
      </c>
      <c r="F118" s="5">
        <v>40.01</v>
      </c>
      <c r="G118" s="29">
        <v>57.4</v>
      </c>
      <c r="H118" s="29">
        <v>16.899999999999999</v>
      </c>
      <c r="I118" s="5">
        <v>106.6</v>
      </c>
      <c r="J118" s="5">
        <v>120.8</v>
      </c>
      <c r="K118" s="5">
        <v>120.8</v>
      </c>
      <c r="L118" s="5"/>
      <c r="M118" s="5">
        <v>122</v>
      </c>
      <c r="N118" s="5">
        <v>122</v>
      </c>
      <c r="O118" s="5"/>
      <c r="P118" s="5">
        <v>125</v>
      </c>
      <c r="Q118" s="5">
        <v>125</v>
      </c>
    </row>
    <row r="119" spans="1:17" ht="18.75" x14ac:dyDescent="0.2">
      <c r="A119" s="12" t="s">
        <v>154</v>
      </c>
      <c r="B119" s="11" t="s">
        <v>51</v>
      </c>
      <c r="C119" s="40">
        <v>1342.8</v>
      </c>
      <c r="D119" s="67">
        <v>1890.4</v>
      </c>
      <c r="E119" s="59">
        <f>E121+E122+E123+E124+E125+E127+E128+E130+E131+E132</f>
        <v>1927.7</v>
      </c>
      <c r="F119" s="40">
        <f>F121+F122+F123+F124+F125+F126+F127+F128+F130+F131+F132</f>
        <v>2427.8587568399998</v>
      </c>
      <c r="G119" s="41">
        <f>SUM(G121:G133)</f>
        <v>2681.3999999999996</v>
      </c>
      <c r="H119" s="41">
        <f>SUM(H121:H133)</f>
        <v>2645.4</v>
      </c>
      <c r="I119" s="40">
        <f t="shared" ref="I119" si="30">SUM(I121:I133)</f>
        <v>2883.9</v>
      </c>
      <c r="J119" s="40">
        <f t="shared" ref="J119" si="31">J121+J122+J123+J124+J125+J126+J127+J128+J130+J131+J132</f>
        <v>2502.6000000000004</v>
      </c>
      <c r="K119" s="40">
        <f t="shared" ref="K119:N119" si="32">SUM(K121:K133)</f>
        <v>2502.6000000000004</v>
      </c>
      <c r="L119" s="40">
        <f t="shared" si="32"/>
        <v>0</v>
      </c>
      <c r="M119" s="40">
        <f t="shared" si="32"/>
        <v>2755.7000000000003</v>
      </c>
      <c r="N119" s="40">
        <f t="shared" si="32"/>
        <v>2755.7000000000003</v>
      </c>
      <c r="O119" s="40"/>
      <c r="P119" s="40">
        <f>P121+P122+P123+P124+P125+P127+P128+P130+P131+P132+P126</f>
        <v>2888.9</v>
      </c>
      <c r="Q119" s="40">
        <f>SUM(Q121:Q133)</f>
        <v>2888.9</v>
      </c>
    </row>
    <row r="120" spans="1:17" ht="18.75" x14ac:dyDescent="0.2">
      <c r="A120" s="18" t="s">
        <v>0</v>
      </c>
      <c r="B120" s="14"/>
      <c r="C120" s="5"/>
      <c r="D120" s="72"/>
      <c r="E120" s="61"/>
      <c r="F120" s="5"/>
      <c r="G120" s="29"/>
      <c r="H120" s="29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8.75" x14ac:dyDescent="0.2">
      <c r="A121" s="15" t="s">
        <v>84</v>
      </c>
      <c r="B121" s="14" t="s">
        <v>51</v>
      </c>
      <c r="C121" s="5">
        <v>114.8</v>
      </c>
      <c r="D121" s="64">
        <v>125.8</v>
      </c>
      <c r="E121" s="61">
        <v>138</v>
      </c>
      <c r="F121" s="5">
        <v>260.05098563000001</v>
      </c>
      <c r="G121" s="29">
        <v>194.6</v>
      </c>
      <c r="H121" s="29">
        <v>222.3</v>
      </c>
      <c r="I121" s="5">
        <f>234.3-10</f>
        <v>224.3</v>
      </c>
      <c r="J121" s="5">
        <v>188.4</v>
      </c>
      <c r="K121" s="5">
        <v>188.4</v>
      </c>
      <c r="L121" s="5"/>
      <c r="M121" s="5">
        <v>190.1</v>
      </c>
      <c r="N121" s="5">
        <v>190.1</v>
      </c>
      <c r="O121" s="5"/>
      <c r="P121" s="5">
        <v>199.6</v>
      </c>
      <c r="Q121" s="5">
        <v>199.6</v>
      </c>
    </row>
    <row r="122" spans="1:17" ht="18.75" x14ac:dyDescent="0.2">
      <c r="A122" s="15" t="s">
        <v>173</v>
      </c>
      <c r="B122" s="14"/>
      <c r="C122" s="5">
        <v>2.2000000000000002</v>
      </c>
      <c r="D122" s="64">
        <v>2.4</v>
      </c>
      <c r="E122" s="61">
        <v>2.5</v>
      </c>
      <c r="F122" s="5">
        <v>2.9651999999999998</v>
      </c>
      <c r="G122" s="29">
        <v>3.4</v>
      </c>
      <c r="H122" s="29">
        <v>4.0999999999999996</v>
      </c>
      <c r="I122" s="5">
        <v>4.8</v>
      </c>
      <c r="J122" s="5">
        <v>5.3</v>
      </c>
      <c r="K122" s="5">
        <v>5.3</v>
      </c>
      <c r="L122" s="5"/>
      <c r="M122" s="5">
        <v>5.5</v>
      </c>
      <c r="N122" s="5">
        <v>5.5</v>
      </c>
      <c r="O122" s="5"/>
      <c r="P122" s="5">
        <v>5.8</v>
      </c>
      <c r="Q122" s="5">
        <v>5.8</v>
      </c>
    </row>
    <row r="123" spans="1:17" ht="37.5" x14ac:dyDescent="0.2">
      <c r="A123" s="15" t="s">
        <v>85</v>
      </c>
      <c r="B123" s="14" t="s">
        <v>51</v>
      </c>
      <c r="C123" s="5">
        <v>8.5</v>
      </c>
      <c r="D123" s="64">
        <v>12.2</v>
      </c>
      <c r="E123" s="61">
        <v>15.3</v>
      </c>
      <c r="F123" s="5">
        <v>16.21933254</v>
      </c>
      <c r="G123" s="29">
        <v>22.3</v>
      </c>
      <c r="H123" s="29">
        <v>21</v>
      </c>
      <c r="I123" s="5">
        <v>20.3</v>
      </c>
      <c r="J123" s="5">
        <v>19</v>
      </c>
      <c r="K123" s="5">
        <v>19</v>
      </c>
      <c r="L123" s="5"/>
      <c r="M123" s="5">
        <v>20.399999999999999</v>
      </c>
      <c r="N123" s="5">
        <v>20.399999999999999</v>
      </c>
      <c r="O123" s="5"/>
      <c r="P123" s="5">
        <v>21.4</v>
      </c>
      <c r="Q123" s="5">
        <v>21.4</v>
      </c>
    </row>
    <row r="124" spans="1:17" ht="18.75" x14ac:dyDescent="0.2">
      <c r="A124" s="15" t="s">
        <v>86</v>
      </c>
      <c r="B124" s="14" t="s">
        <v>51</v>
      </c>
      <c r="C124" s="5">
        <v>128.80000000000001</v>
      </c>
      <c r="D124" s="64">
        <v>204.6</v>
      </c>
      <c r="E124" s="61">
        <v>171.7</v>
      </c>
      <c r="F124" s="5">
        <v>281.34667075999999</v>
      </c>
      <c r="G124" s="29">
        <v>324.3</v>
      </c>
      <c r="H124" s="29">
        <v>268.3</v>
      </c>
      <c r="I124" s="5">
        <v>614</v>
      </c>
      <c r="J124" s="5">
        <v>302.3</v>
      </c>
      <c r="K124" s="5">
        <v>302.3</v>
      </c>
      <c r="L124" s="5"/>
      <c r="M124" s="5">
        <v>313</v>
      </c>
      <c r="N124" s="5">
        <v>313</v>
      </c>
      <c r="O124" s="5"/>
      <c r="P124" s="5">
        <v>328.7</v>
      </c>
      <c r="Q124" s="5">
        <v>328.7</v>
      </c>
    </row>
    <row r="125" spans="1:17" ht="18.75" x14ac:dyDescent="0.2">
      <c r="A125" s="15" t="s">
        <v>87</v>
      </c>
      <c r="B125" s="14" t="s">
        <v>51</v>
      </c>
      <c r="C125" s="5">
        <v>91.4</v>
      </c>
      <c r="D125" s="64">
        <v>104.5</v>
      </c>
      <c r="E125" s="61">
        <v>80.900000000000006</v>
      </c>
      <c r="F125" s="5">
        <v>210.50660643999998</v>
      </c>
      <c r="G125" s="29">
        <v>281.2</v>
      </c>
      <c r="H125" s="29">
        <v>139.4</v>
      </c>
      <c r="I125" s="5">
        <f>126.6+9-1</f>
        <v>134.6</v>
      </c>
      <c r="J125" s="5">
        <v>86.4</v>
      </c>
      <c r="K125" s="5">
        <v>86.4</v>
      </c>
      <c r="L125" s="5"/>
      <c r="M125" s="5">
        <v>90.6</v>
      </c>
      <c r="N125" s="5">
        <v>90.6</v>
      </c>
      <c r="O125" s="5"/>
      <c r="P125" s="5">
        <v>95.1</v>
      </c>
      <c r="Q125" s="5">
        <v>95.1</v>
      </c>
    </row>
    <row r="126" spans="1:17" ht="18.75" x14ac:dyDescent="0.2">
      <c r="A126" s="15" t="s">
        <v>88</v>
      </c>
      <c r="B126" s="14" t="s">
        <v>51</v>
      </c>
      <c r="C126" s="5"/>
      <c r="D126" s="64"/>
      <c r="E126" s="61">
        <v>0</v>
      </c>
      <c r="F126" s="5">
        <v>1.1503838400000002</v>
      </c>
      <c r="G126" s="29">
        <v>22.4</v>
      </c>
      <c r="H126" s="29">
        <v>14.5</v>
      </c>
      <c r="I126" s="5">
        <v>11.4</v>
      </c>
      <c r="J126" s="5">
        <v>10.1</v>
      </c>
      <c r="K126" s="5">
        <v>10.1</v>
      </c>
      <c r="L126" s="5"/>
      <c r="M126" s="5">
        <v>10.1</v>
      </c>
      <c r="N126" s="5">
        <v>10.1</v>
      </c>
      <c r="O126" s="5"/>
      <c r="P126" s="5">
        <v>10.6</v>
      </c>
      <c r="Q126" s="5">
        <v>10.6</v>
      </c>
    </row>
    <row r="127" spans="1:17" ht="18.75" x14ac:dyDescent="0.2">
      <c r="A127" s="15" t="s">
        <v>52</v>
      </c>
      <c r="B127" s="14" t="s">
        <v>51</v>
      </c>
      <c r="C127" s="5">
        <v>779.3</v>
      </c>
      <c r="D127" s="64">
        <v>1189.9000000000001</v>
      </c>
      <c r="E127" s="61">
        <v>1176</v>
      </c>
      <c r="F127" s="5">
        <v>1177.29099948</v>
      </c>
      <c r="G127" s="29">
        <v>1285.0999999999999</v>
      </c>
      <c r="H127" s="29">
        <v>1416.7</v>
      </c>
      <c r="I127" s="5">
        <f>1425.9-50</f>
        <v>1375.9</v>
      </c>
      <c r="J127" s="5">
        <f>1422.2+25</f>
        <v>1447.2</v>
      </c>
      <c r="K127" s="5">
        <f>1422.2+25</f>
        <v>1447.2</v>
      </c>
      <c r="L127" s="5"/>
      <c r="M127" s="5">
        <f>1601.3+64.5</f>
        <v>1665.8</v>
      </c>
      <c r="N127" s="5">
        <f>1601.3+64.5</f>
        <v>1665.8</v>
      </c>
      <c r="O127" s="5"/>
      <c r="P127" s="5">
        <v>1745</v>
      </c>
      <c r="Q127" s="5">
        <v>1745</v>
      </c>
    </row>
    <row r="128" spans="1:17" ht="18.75" x14ac:dyDescent="0.2">
      <c r="A128" s="15" t="s">
        <v>89</v>
      </c>
      <c r="B128" s="14" t="s">
        <v>51</v>
      </c>
      <c r="C128" s="5">
        <v>133.19999999999999</v>
      </c>
      <c r="D128" s="64">
        <v>159</v>
      </c>
      <c r="E128" s="61">
        <v>205.6</v>
      </c>
      <c r="F128" s="5">
        <v>220.82571181999998</v>
      </c>
      <c r="G128" s="29">
        <v>292.8</v>
      </c>
      <c r="H128" s="29">
        <v>335.6</v>
      </c>
      <c r="I128" s="5">
        <f>302.3-13</f>
        <v>289.3</v>
      </c>
      <c r="J128" s="5">
        <f>228.9+10</f>
        <v>238.9</v>
      </c>
      <c r="K128" s="5">
        <f>228.9+10</f>
        <v>238.9</v>
      </c>
      <c r="L128" s="5"/>
      <c r="M128" s="5">
        <v>248.8</v>
      </c>
      <c r="N128" s="5">
        <v>248.8</v>
      </c>
      <c r="O128" s="5"/>
      <c r="P128" s="5">
        <v>261</v>
      </c>
      <c r="Q128" s="5">
        <v>261</v>
      </c>
    </row>
    <row r="129" spans="1:17" ht="18.75" x14ac:dyDescent="0.2">
      <c r="A129" s="15" t="s">
        <v>90</v>
      </c>
      <c r="B129" s="14" t="s">
        <v>51</v>
      </c>
      <c r="C129" s="22"/>
      <c r="D129" s="78"/>
      <c r="E129" s="78">
        <v>0</v>
      </c>
      <c r="F129" s="5">
        <v>0</v>
      </c>
      <c r="G129" s="29">
        <v>0</v>
      </c>
      <c r="H129" s="29">
        <v>0</v>
      </c>
      <c r="I129" s="22">
        <v>0</v>
      </c>
      <c r="J129" s="5">
        <v>0</v>
      </c>
      <c r="K129" s="5">
        <v>0</v>
      </c>
      <c r="L129" s="22"/>
      <c r="M129" s="5">
        <v>0</v>
      </c>
      <c r="N129" s="5">
        <v>0</v>
      </c>
      <c r="O129" s="22"/>
      <c r="P129" s="5">
        <f t="shared" ref="P129:Q133" si="33">M129*1.05</f>
        <v>0</v>
      </c>
      <c r="Q129" s="5">
        <f t="shared" si="33"/>
        <v>0</v>
      </c>
    </row>
    <row r="130" spans="1:17" ht="18.75" x14ac:dyDescent="0.2">
      <c r="A130" s="15" t="s">
        <v>53</v>
      </c>
      <c r="B130" s="14" t="s">
        <v>51</v>
      </c>
      <c r="C130" s="5">
        <v>75.099999999999994</v>
      </c>
      <c r="D130" s="64">
        <v>75.900000000000006</v>
      </c>
      <c r="E130" s="61">
        <v>108</v>
      </c>
      <c r="F130" s="5">
        <v>112.72096933</v>
      </c>
      <c r="G130" s="29">
        <v>124.4</v>
      </c>
      <c r="H130" s="29">
        <v>133.30000000000001</v>
      </c>
      <c r="I130" s="5">
        <v>125.2</v>
      </c>
      <c r="J130" s="5">
        <v>132.80000000000001</v>
      </c>
      <c r="K130" s="5">
        <v>132.80000000000001</v>
      </c>
      <c r="L130" s="5"/>
      <c r="M130" s="5">
        <v>134.6</v>
      </c>
      <c r="N130" s="5">
        <v>134.6</v>
      </c>
      <c r="O130" s="5"/>
      <c r="P130" s="5">
        <v>141.30000000000001</v>
      </c>
      <c r="Q130" s="5">
        <v>141.30000000000001</v>
      </c>
    </row>
    <row r="131" spans="1:17" ht="18.75" x14ac:dyDescent="0.2">
      <c r="A131" s="15" t="s">
        <v>91</v>
      </c>
      <c r="B131" s="14" t="s">
        <v>51</v>
      </c>
      <c r="C131" s="5">
        <v>3.2</v>
      </c>
      <c r="D131" s="64">
        <v>8.9</v>
      </c>
      <c r="E131" s="61">
        <v>21.7</v>
      </c>
      <c r="F131" s="5">
        <v>134.10434667000001</v>
      </c>
      <c r="G131" s="29">
        <v>118.7</v>
      </c>
      <c r="H131" s="29">
        <v>77.2</v>
      </c>
      <c r="I131" s="5">
        <f>73.6-1</f>
        <v>72.599999999999994</v>
      </c>
      <c r="J131" s="5">
        <f>59.8+2</f>
        <v>61.8</v>
      </c>
      <c r="K131" s="5">
        <f>59.8+2</f>
        <v>61.8</v>
      </c>
      <c r="L131" s="5"/>
      <c r="M131" s="5">
        <v>65</v>
      </c>
      <c r="N131" s="5">
        <v>65</v>
      </c>
      <c r="O131" s="5"/>
      <c r="P131" s="5">
        <v>68</v>
      </c>
      <c r="Q131" s="5">
        <v>68</v>
      </c>
    </row>
    <row r="132" spans="1:17" ht="18.75" x14ac:dyDescent="0.2">
      <c r="A132" s="15" t="s">
        <v>172</v>
      </c>
      <c r="B132" s="14" t="s">
        <v>51</v>
      </c>
      <c r="C132" s="5">
        <v>6.3</v>
      </c>
      <c r="D132" s="64">
        <v>7.2</v>
      </c>
      <c r="E132" s="61">
        <v>8</v>
      </c>
      <c r="F132" s="5">
        <v>10.677550330000001</v>
      </c>
      <c r="G132" s="29">
        <v>12.2</v>
      </c>
      <c r="H132" s="29">
        <v>13</v>
      </c>
      <c r="I132" s="5">
        <v>11.5</v>
      </c>
      <c r="J132" s="5">
        <f>9.5+0.9</f>
        <v>10.4</v>
      </c>
      <c r="K132" s="5">
        <f>9.5+0.9</f>
        <v>10.4</v>
      </c>
      <c r="L132" s="5"/>
      <c r="M132" s="5">
        <v>11.8</v>
      </c>
      <c r="N132" s="5">
        <v>11.8</v>
      </c>
      <c r="O132" s="5"/>
      <c r="P132" s="5">
        <v>12.4</v>
      </c>
      <c r="Q132" s="5">
        <v>12.4</v>
      </c>
    </row>
    <row r="133" spans="1:17" ht="18.75" x14ac:dyDescent="0.2">
      <c r="A133" s="15" t="s">
        <v>155</v>
      </c>
      <c r="B133" s="14" t="s">
        <v>51</v>
      </c>
      <c r="C133" s="5"/>
      <c r="D133" s="64"/>
      <c r="E133" s="61">
        <v>0</v>
      </c>
      <c r="F133" s="5">
        <v>0</v>
      </c>
      <c r="G133" s="29">
        <v>0</v>
      </c>
      <c r="H133" s="29">
        <v>0</v>
      </c>
      <c r="I133" s="5">
        <v>0</v>
      </c>
      <c r="J133" s="5">
        <v>0</v>
      </c>
      <c r="K133" s="5">
        <v>0</v>
      </c>
      <c r="L133" s="5"/>
      <c r="M133" s="5">
        <v>0</v>
      </c>
      <c r="N133" s="5">
        <v>0</v>
      </c>
      <c r="O133" s="5"/>
      <c r="P133" s="5">
        <f t="shared" si="33"/>
        <v>0</v>
      </c>
      <c r="Q133" s="5">
        <f t="shared" si="33"/>
        <v>0</v>
      </c>
    </row>
    <row r="134" spans="1:17" ht="18.75" x14ac:dyDescent="0.2">
      <c r="A134" s="17" t="s">
        <v>156</v>
      </c>
      <c r="B134" s="11" t="s">
        <v>51</v>
      </c>
      <c r="C134" s="5">
        <v>14.9</v>
      </c>
      <c r="D134" s="65">
        <v>39</v>
      </c>
      <c r="E134" s="61">
        <f>E100-E119</f>
        <v>51.299999999999955</v>
      </c>
      <c r="F134" s="5">
        <f>F100-F119</f>
        <v>70.428519330000199</v>
      </c>
      <c r="G134" s="5">
        <f t="shared" ref="G134:Q134" si="34">G100-G119</f>
        <v>8.5000000000004547</v>
      </c>
      <c r="H134" s="40">
        <f t="shared" si="34"/>
        <v>-13.200000000000273</v>
      </c>
      <c r="I134" s="40">
        <f t="shared" si="34"/>
        <v>-68.599999999999909</v>
      </c>
      <c r="J134" s="40">
        <f t="shared" si="34"/>
        <v>13.999999999999545</v>
      </c>
      <c r="K134" s="40">
        <f t="shared" si="34"/>
        <v>13.999999999999545</v>
      </c>
      <c r="L134" s="40">
        <f t="shared" si="34"/>
        <v>0</v>
      </c>
      <c r="M134" s="40">
        <f t="shared" si="34"/>
        <v>14.499999999999545</v>
      </c>
      <c r="N134" s="40">
        <f t="shared" si="34"/>
        <v>14.499999999999545</v>
      </c>
      <c r="O134" s="40">
        <f t="shared" si="34"/>
        <v>0</v>
      </c>
      <c r="P134" s="40">
        <f t="shared" si="34"/>
        <v>15.599999999999909</v>
      </c>
      <c r="Q134" s="40">
        <f t="shared" si="34"/>
        <v>15.599999999999909</v>
      </c>
    </row>
    <row r="135" spans="1:17" ht="18.75" x14ac:dyDescent="0.2">
      <c r="A135" s="12" t="s">
        <v>157</v>
      </c>
      <c r="B135" s="11" t="s">
        <v>51</v>
      </c>
      <c r="C135" s="40">
        <v>0</v>
      </c>
      <c r="D135" s="74">
        <v>0</v>
      </c>
      <c r="E135" s="74">
        <v>0</v>
      </c>
      <c r="F135" s="122">
        <v>0</v>
      </c>
      <c r="G135" s="134">
        <v>0</v>
      </c>
      <c r="H135" s="134">
        <v>0</v>
      </c>
      <c r="I135" s="122">
        <v>0</v>
      </c>
      <c r="J135" s="122">
        <v>0</v>
      </c>
      <c r="K135" s="122">
        <v>0</v>
      </c>
      <c r="L135" s="122">
        <v>0</v>
      </c>
      <c r="M135" s="122">
        <v>0</v>
      </c>
      <c r="N135" s="122">
        <v>15.4</v>
      </c>
      <c r="O135" s="122">
        <v>0</v>
      </c>
      <c r="P135" s="122">
        <v>0</v>
      </c>
      <c r="Q135" s="122">
        <v>17.100000000000001</v>
      </c>
    </row>
    <row r="136" spans="1:17" ht="18.75" x14ac:dyDescent="0.2">
      <c r="A136" s="10" t="s">
        <v>159</v>
      </c>
      <c r="B136" s="4"/>
      <c r="C136" s="5"/>
      <c r="D136" s="72"/>
      <c r="E136" s="61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8.75" x14ac:dyDescent="0.2">
      <c r="A137" s="12" t="s">
        <v>180</v>
      </c>
      <c r="B137" s="4" t="s">
        <v>42</v>
      </c>
      <c r="C137" s="48">
        <f t="shared" ref="C137:D137" si="35">C138+C167/1000</f>
        <v>19.479999999999997</v>
      </c>
      <c r="D137" s="63" t="e">
        <f t="shared" si="35"/>
        <v>#REF!</v>
      </c>
      <c r="E137" s="63" t="e">
        <f>E138+E167/1000</f>
        <v>#REF!</v>
      </c>
      <c r="F137" s="45">
        <f t="shared" ref="F137:K137" si="36">F168/F166*100/1000</f>
        <v>19.444444444444443</v>
      </c>
      <c r="G137" s="45">
        <f t="shared" si="36"/>
        <v>19.545454545454543</v>
      </c>
      <c r="H137" s="45">
        <f>H168/H166*100/1000</f>
        <v>19.375</v>
      </c>
      <c r="I137" s="45">
        <f t="shared" si="36"/>
        <v>19.375</v>
      </c>
      <c r="J137" s="45">
        <f t="shared" si="36"/>
        <v>19.375</v>
      </c>
      <c r="K137" s="45">
        <f t="shared" si="36"/>
        <v>19.375</v>
      </c>
      <c r="L137" s="45">
        <f t="shared" ref="L137:Q137" si="37">L168/L166*100/1000</f>
        <v>19.375</v>
      </c>
      <c r="M137" s="45">
        <f t="shared" si="37"/>
        <v>19.375</v>
      </c>
      <c r="N137" s="45">
        <f t="shared" si="37"/>
        <v>19.375</v>
      </c>
      <c r="O137" s="45">
        <f t="shared" si="37"/>
        <v>19.375</v>
      </c>
      <c r="P137" s="45">
        <f t="shared" si="37"/>
        <v>19.375</v>
      </c>
      <c r="Q137" s="45">
        <f t="shared" si="37"/>
        <v>19.375</v>
      </c>
    </row>
    <row r="138" spans="1:17" ht="37.5" x14ac:dyDescent="0.2">
      <c r="A138" s="56" t="s">
        <v>181</v>
      </c>
      <c r="B138" s="7" t="s">
        <v>42</v>
      </c>
      <c r="C138" s="1">
        <v>16.899999999999999</v>
      </c>
      <c r="D138" s="80" t="e">
        <f>#REF!-D158</f>
        <v>#REF!</v>
      </c>
      <c r="E138" s="80" t="e">
        <f>#REF!-E158</f>
        <v>#REF!</v>
      </c>
      <c r="F138" s="44" t="e">
        <f>#REF!-F158</f>
        <v>#REF!</v>
      </c>
      <c r="G138" s="44">
        <v>18.655000000000001</v>
      </c>
      <c r="H138" s="44">
        <v>18.109000000000002</v>
      </c>
      <c r="I138" s="138">
        <v>17.989999999999998</v>
      </c>
      <c r="J138" s="139">
        <v>17.79</v>
      </c>
      <c r="K138" s="139">
        <v>17.89</v>
      </c>
      <c r="L138" s="139" t="e">
        <f>#REF!-L158</f>
        <v>#REF!</v>
      </c>
      <c r="M138" s="139">
        <v>17.89</v>
      </c>
      <c r="N138" s="139">
        <v>17.989999999999998</v>
      </c>
      <c r="O138" s="139" t="e">
        <f>#REF!-O158</f>
        <v>#REF!</v>
      </c>
      <c r="P138" s="139">
        <v>17.989999999999998</v>
      </c>
      <c r="Q138" s="139">
        <v>18.09</v>
      </c>
    </row>
    <row r="139" spans="1:17" ht="37.5" x14ac:dyDescent="0.2">
      <c r="A139" s="33" t="s">
        <v>183</v>
      </c>
      <c r="B139" s="7" t="s">
        <v>42</v>
      </c>
      <c r="C139" s="30">
        <v>0.92900000000000005</v>
      </c>
      <c r="D139" s="81">
        <v>0.93200000000000005</v>
      </c>
      <c r="E139" s="81">
        <v>0.88900000000000001</v>
      </c>
      <c r="F139" s="30">
        <v>0.98399999999999999</v>
      </c>
      <c r="G139" s="30">
        <v>9.6280000000000001</v>
      </c>
      <c r="H139" s="30">
        <v>6.0960000000000001</v>
      </c>
      <c r="I139" s="30">
        <v>5.99</v>
      </c>
      <c r="J139" s="30">
        <v>5.8</v>
      </c>
      <c r="K139" s="30">
        <v>5.9</v>
      </c>
      <c r="L139" s="30">
        <v>5.99</v>
      </c>
      <c r="M139" s="30">
        <v>5.9</v>
      </c>
      <c r="N139" s="30">
        <v>5.99</v>
      </c>
      <c r="O139" s="30">
        <v>5.99</v>
      </c>
      <c r="P139" s="30">
        <v>5.99</v>
      </c>
      <c r="Q139" s="30">
        <v>6.1</v>
      </c>
    </row>
    <row r="140" spans="1:17" ht="18.75" x14ac:dyDescent="0.2">
      <c r="A140" s="33" t="s">
        <v>184</v>
      </c>
      <c r="B140" s="7" t="s">
        <v>42</v>
      </c>
      <c r="C140" s="49">
        <v>0.20499999999999999</v>
      </c>
      <c r="D140" s="82">
        <v>0.19900000000000001</v>
      </c>
      <c r="E140" s="82">
        <v>0.50900000000000001</v>
      </c>
      <c r="F140" s="49">
        <v>0.34699999999999998</v>
      </c>
      <c r="G140" s="49">
        <v>0.245</v>
      </c>
      <c r="H140" s="49">
        <v>2.72</v>
      </c>
      <c r="I140" s="49">
        <v>2.72</v>
      </c>
      <c r="J140" s="49">
        <v>2.72</v>
      </c>
      <c r="K140" s="49">
        <v>2.72</v>
      </c>
      <c r="L140" s="49"/>
      <c r="M140" s="49">
        <v>2.72</v>
      </c>
      <c r="N140" s="49">
        <v>2.72</v>
      </c>
      <c r="O140" s="49"/>
      <c r="P140" s="49">
        <v>2.72</v>
      </c>
      <c r="Q140" s="49">
        <v>2.72</v>
      </c>
    </row>
    <row r="141" spans="1:17" ht="18.75" x14ac:dyDescent="0.2">
      <c r="A141" s="33" t="s">
        <v>185</v>
      </c>
      <c r="B141" s="7" t="s">
        <v>42</v>
      </c>
      <c r="C141" s="7">
        <v>1.139</v>
      </c>
      <c r="D141" s="83">
        <v>1.0760000000000001</v>
      </c>
      <c r="E141" s="82">
        <v>0.68700000000000006</v>
      </c>
      <c r="F141" s="49">
        <v>0.89900000000000002</v>
      </c>
      <c r="G141" s="49">
        <v>0.873</v>
      </c>
      <c r="H141" s="49">
        <v>0.83399999999999996</v>
      </c>
      <c r="I141" s="49">
        <v>0.83399999999999996</v>
      </c>
      <c r="J141" s="49">
        <v>0.83399999999999996</v>
      </c>
      <c r="K141" s="49">
        <v>0.83399999999999996</v>
      </c>
      <c r="L141" s="49"/>
      <c r="M141" s="49">
        <v>0.83399999999999996</v>
      </c>
      <c r="N141" s="49">
        <v>0.83399999999999996</v>
      </c>
      <c r="O141" s="49"/>
      <c r="P141" s="49">
        <v>0.83399999999999996</v>
      </c>
      <c r="Q141" s="49">
        <v>0.83399999999999996</v>
      </c>
    </row>
    <row r="142" spans="1:17" ht="37.5" x14ac:dyDescent="0.2">
      <c r="A142" s="33" t="s">
        <v>186</v>
      </c>
      <c r="B142" s="7" t="s">
        <v>42</v>
      </c>
      <c r="C142" s="29">
        <v>0.1</v>
      </c>
      <c r="D142" s="60">
        <v>0.14099999999999999</v>
      </c>
      <c r="E142" s="60">
        <v>0.14399999999999999</v>
      </c>
      <c r="F142" s="29">
        <v>0.129</v>
      </c>
      <c r="G142" s="29">
        <v>0.08</v>
      </c>
      <c r="H142" s="27">
        <v>7.0000000000000007E-2</v>
      </c>
      <c r="I142" s="27">
        <v>7.0000000000000007E-2</v>
      </c>
      <c r="J142" s="27">
        <v>7.0000000000000007E-2</v>
      </c>
      <c r="K142" s="27">
        <v>7.0000000000000007E-2</v>
      </c>
      <c r="L142" s="29"/>
      <c r="M142" s="27">
        <v>7.0000000000000007E-2</v>
      </c>
      <c r="N142" s="27">
        <v>7.0000000000000007E-2</v>
      </c>
      <c r="O142" s="29"/>
      <c r="P142" s="27">
        <v>7.0000000000000007E-2</v>
      </c>
      <c r="Q142" s="27">
        <v>7.0000000000000007E-2</v>
      </c>
    </row>
    <row r="143" spans="1:17" ht="56.25" x14ac:dyDescent="0.2">
      <c r="A143" s="33" t="s">
        <v>187</v>
      </c>
      <c r="B143" s="7" t="s">
        <v>42</v>
      </c>
      <c r="C143" s="29">
        <v>0.223</v>
      </c>
      <c r="D143" s="68">
        <v>0.223</v>
      </c>
      <c r="E143" s="68">
        <v>0.10100000000000001</v>
      </c>
      <c r="F143" s="28">
        <v>0.115</v>
      </c>
      <c r="G143" s="28">
        <v>0.38500000000000001</v>
      </c>
      <c r="H143" s="140">
        <v>0.38100000000000001</v>
      </c>
      <c r="I143" s="140">
        <v>0.38100000000000001</v>
      </c>
      <c r="J143" s="140">
        <v>0.38100000000000001</v>
      </c>
      <c r="K143" s="140">
        <v>0.38100000000000001</v>
      </c>
      <c r="L143" s="28"/>
      <c r="M143" s="140">
        <v>0.38100000000000001</v>
      </c>
      <c r="N143" s="140">
        <v>0.38100000000000001</v>
      </c>
      <c r="O143" s="28"/>
      <c r="P143" s="140">
        <v>0.38100000000000001</v>
      </c>
      <c r="Q143" s="140">
        <v>0.38100000000000001</v>
      </c>
    </row>
    <row r="144" spans="1:17" ht="18.75" x14ac:dyDescent="0.2">
      <c r="A144" s="33" t="s">
        <v>188</v>
      </c>
      <c r="B144" s="7" t="s">
        <v>42</v>
      </c>
      <c r="C144" s="29">
        <v>6.7000000000000004E-2</v>
      </c>
      <c r="D144" s="64">
        <v>6.9000000000000006E-2</v>
      </c>
      <c r="E144" s="64">
        <v>4.3999999999999997E-2</v>
      </c>
      <c r="F144" s="25">
        <v>7.4999999999999997E-2</v>
      </c>
      <c r="G144" s="25">
        <v>0.34</v>
      </c>
      <c r="H144" s="140">
        <v>0.38100000000000001</v>
      </c>
      <c r="I144" s="140">
        <v>0.38100000000000001</v>
      </c>
      <c r="J144" s="140">
        <v>0.38100000000000001</v>
      </c>
      <c r="K144" s="140">
        <v>0.38100000000000001</v>
      </c>
      <c r="L144" s="25"/>
      <c r="M144" s="140">
        <v>0.38100000000000001</v>
      </c>
      <c r="N144" s="140">
        <v>0.38100000000000001</v>
      </c>
      <c r="O144" s="25"/>
      <c r="P144" s="140">
        <v>0.38100000000000001</v>
      </c>
      <c r="Q144" s="140">
        <v>0.38100000000000001</v>
      </c>
    </row>
    <row r="145" spans="1:17" ht="37.5" x14ac:dyDescent="0.2">
      <c r="A145" s="33" t="s">
        <v>189</v>
      </c>
      <c r="B145" s="7" t="s">
        <v>42</v>
      </c>
      <c r="C145" s="23">
        <v>0.91700000000000004</v>
      </c>
      <c r="D145" s="84">
        <v>0.93100000000000005</v>
      </c>
      <c r="E145" s="102">
        <v>0.91600000000000004</v>
      </c>
      <c r="F145" s="23">
        <v>1.034</v>
      </c>
      <c r="G145" s="23">
        <v>2.1850000000000001</v>
      </c>
      <c r="H145" s="27">
        <v>2.2290000000000001</v>
      </c>
      <c r="I145" s="27">
        <v>2.2290000000000001</v>
      </c>
      <c r="J145" s="27">
        <v>2.2290000000000001</v>
      </c>
      <c r="K145" s="27">
        <v>2.2290000000000001</v>
      </c>
      <c r="L145" s="23"/>
      <c r="M145" s="27">
        <v>2.2290000000000001</v>
      </c>
      <c r="N145" s="27">
        <v>2.2290000000000001</v>
      </c>
      <c r="O145" s="23"/>
      <c r="P145" s="27">
        <v>2.2290000000000001</v>
      </c>
      <c r="Q145" s="27">
        <v>2.2290000000000001</v>
      </c>
    </row>
    <row r="146" spans="1:17" ht="18.75" x14ac:dyDescent="0.2">
      <c r="A146" s="33" t="s">
        <v>190</v>
      </c>
      <c r="B146" s="7" t="s">
        <v>42</v>
      </c>
      <c r="C146" s="29">
        <v>0.41199999999999998</v>
      </c>
      <c r="D146" s="68">
        <v>9.2999999999999999E-2</v>
      </c>
      <c r="E146" s="68">
        <v>6.7000000000000004E-2</v>
      </c>
      <c r="F146" s="28">
        <v>8.5000000000000006E-2</v>
      </c>
      <c r="G146" s="28">
        <v>0.17</v>
      </c>
      <c r="H146" s="140">
        <v>0.18099999999999999</v>
      </c>
      <c r="I146" s="140">
        <v>0.18099999999999999</v>
      </c>
      <c r="J146" s="140">
        <v>0.18099999999999999</v>
      </c>
      <c r="K146" s="140">
        <v>0.18099999999999999</v>
      </c>
      <c r="L146" s="28"/>
      <c r="M146" s="140">
        <v>0.18099999999999999</v>
      </c>
      <c r="N146" s="140">
        <v>0.18099999999999999</v>
      </c>
      <c r="O146" s="28"/>
      <c r="P146" s="140">
        <v>0.18099999999999999</v>
      </c>
      <c r="Q146" s="140">
        <v>0.18099999999999999</v>
      </c>
    </row>
    <row r="147" spans="1:17" ht="37.5" x14ac:dyDescent="0.2">
      <c r="A147" s="33" t="s">
        <v>191</v>
      </c>
      <c r="B147" s="7" t="s">
        <v>42</v>
      </c>
      <c r="C147" s="50">
        <v>2.5999999999999999E-2</v>
      </c>
      <c r="D147" s="64">
        <v>2.5000000000000001E-2</v>
      </c>
      <c r="E147" s="64">
        <v>2.5999999999999999E-2</v>
      </c>
      <c r="F147" s="25">
        <v>0.114</v>
      </c>
      <c r="G147" s="25">
        <v>0</v>
      </c>
      <c r="H147" s="140">
        <v>0</v>
      </c>
      <c r="I147" s="140">
        <v>0</v>
      </c>
      <c r="J147" s="140">
        <v>0</v>
      </c>
      <c r="K147" s="140">
        <v>0</v>
      </c>
      <c r="L147" s="25"/>
      <c r="M147" s="140">
        <v>0</v>
      </c>
      <c r="N147" s="140">
        <v>0</v>
      </c>
      <c r="O147" s="25"/>
      <c r="P147" s="140">
        <v>0</v>
      </c>
      <c r="Q147" s="140">
        <v>0</v>
      </c>
    </row>
    <row r="148" spans="1:17" ht="18.75" x14ac:dyDescent="0.2">
      <c r="A148" s="33" t="s">
        <v>192</v>
      </c>
      <c r="B148" s="7" t="s">
        <v>42</v>
      </c>
      <c r="C148" s="5"/>
      <c r="D148" s="64"/>
      <c r="E148" s="61">
        <v>0.01</v>
      </c>
      <c r="F148" s="5">
        <v>7.0000000000000007E-2</v>
      </c>
      <c r="G148" s="5">
        <v>6.0999999999999999E-2</v>
      </c>
      <c r="H148" s="27">
        <v>0</v>
      </c>
      <c r="I148" s="27">
        <v>0</v>
      </c>
      <c r="J148" s="27">
        <v>0</v>
      </c>
      <c r="K148" s="27">
        <v>0</v>
      </c>
      <c r="L148" s="5"/>
      <c r="M148" s="27">
        <v>0</v>
      </c>
      <c r="N148" s="27">
        <v>0</v>
      </c>
      <c r="O148" s="5"/>
      <c r="P148" s="27">
        <v>0</v>
      </c>
      <c r="Q148" s="27">
        <v>0</v>
      </c>
    </row>
    <row r="149" spans="1:17" ht="18.75" x14ac:dyDescent="0.2">
      <c r="A149" s="33" t="s">
        <v>193</v>
      </c>
      <c r="B149" s="7" t="s">
        <v>42</v>
      </c>
      <c r="C149" s="21">
        <v>1.0999999999999999E-2</v>
      </c>
      <c r="D149" s="57">
        <v>8.0000000000000002E-3</v>
      </c>
      <c r="E149" s="57">
        <v>1E-3</v>
      </c>
      <c r="F149" s="35"/>
      <c r="G149" s="35"/>
      <c r="H149" s="27"/>
      <c r="I149" s="27"/>
      <c r="J149" s="27"/>
      <c r="K149" s="27"/>
      <c r="L149" s="35"/>
      <c r="M149" s="27"/>
      <c r="N149" s="27"/>
      <c r="O149" s="35"/>
      <c r="P149" s="27"/>
      <c r="Q149" s="27"/>
    </row>
    <row r="150" spans="1:17" ht="37.5" x14ac:dyDescent="0.2">
      <c r="A150" s="33" t="s">
        <v>194</v>
      </c>
      <c r="B150" s="7" t="s">
        <v>42</v>
      </c>
      <c r="C150" s="24">
        <v>8.0000000000000002E-3</v>
      </c>
      <c r="D150" s="65">
        <v>8.0000000000000002E-3</v>
      </c>
      <c r="E150" s="65">
        <v>1.7999999999999999E-2</v>
      </c>
      <c r="F150" s="24">
        <v>2.5000000000000001E-2</v>
      </c>
      <c r="G150" s="24">
        <v>5.2999999999999999E-2</v>
      </c>
      <c r="H150" s="140">
        <v>5.1999999999999998E-2</v>
      </c>
      <c r="I150" s="140">
        <v>5.1999999999999998E-2</v>
      </c>
      <c r="J150" s="140">
        <v>5.1999999999999998E-2</v>
      </c>
      <c r="K150" s="140">
        <v>5.1999999999999998E-2</v>
      </c>
      <c r="L150" s="24"/>
      <c r="M150" s="140">
        <v>5.1999999999999998E-2</v>
      </c>
      <c r="N150" s="140">
        <v>5.1999999999999998E-2</v>
      </c>
      <c r="O150" s="24"/>
      <c r="P150" s="140">
        <v>5.1999999999999998E-2</v>
      </c>
      <c r="Q150" s="140">
        <v>5.1999999999999998E-2</v>
      </c>
    </row>
    <row r="151" spans="1:17" ht="37.5" x14ac:dyDescent="0.2">
      <c r="A151" s="33" t="s">
        <v>195</v>
      </c>
      <c r="B151" s="7" t="s">
        <v>42</v>
      </c>
      <c r="C151" s="29">
        <v>0.13400000000000001</v>
      </c>
      <c r="D151" s="68">
        <v>0.14099999999999999</v>
      </c>
      <c r="E151" s="68">
        <v>0.17199999999999999</v>
      </c>
      <c r="F151" s="28">
        <v>0.13700000000000001</v>
      </c>
      <c r="G151" s="28">
        <v>0.13900000000000001</v>
      </c>
      <c r="H151" s="140">
        <v>0.153</v>
      </c>
      <c r="I151" s="140">
        <v>0.153</v>
      </c>
      <c r="J151" s="140">
        <v>0.153</v>
      </c>
      <c r="K151" s="140">
        <v>0.153</v>
      </c>
      <c r="L151" s="28"/>
      <c r="M151" s="140">
        <v>0.153</v>
      </c>
      <c r="N151" s="140">
        <v>0.153</v>
      </c>
      <c r="O151" s="28"/>
      <c r="P151" s="140">
        <v>0.153</v>
      </c>
      <c r="Q151" s="140">
        <v>0.153</v>
      </c>
    </row>
    <row r="152" spans="1:17" ht="37.5" x14ac:dyDescent="0.2">
      <c r="A152" s="33" t="s">
        <v>196</v>
      </c>
      <c r="B152" s="6" t="s">
        <v>42</v>
      </c>
      <c r="C152" s="5">
        <v>0.04</v>
      </c>
      <c r="D152" s="64">
        <v>4.8000000000000001E-2</v>
      </c>
      <c r="E152" s="64">
        <v>5.7000000000000002E-2</v>
      </c>
      <c r="F152" s="25">
        <v>0.49</v>
      </c>
      <c r="G152" s="25">
        <v>5.2999999999999999E-2</v>
      </c>
      <c r="H152" s="140">
        <v>5.5E-2</v>
      </c>
      <c r="I152" s="140">
        <v>5.5E-2</v>
      </c>
      <c r="J152" s="140">
        <v>5.5E-2</v>
      </c>
      <c r="K152" s="140">
        <v>5.5E-2</v>
      </c>
      <c r="L152" s="25"/>
      <c r="M152" s="140">
        <v>5.5E-2</v>
      </c>
      <c r="N152" s="140">
        <v>5.5E-2</v>
      </c>
      <c r="O152" s="25"/>
      <c r="P152" s="140">
        <v>5.5E-2</v>
      </c>
      <c r="Q152" s="140">
        <v>5.5E-2</v>
      </c>
    </row>
    <row r="153" spans="1:17" ht="37.5" x14ac:dyDescent="0.2">
      <c r="A153" s="33" t="s">
        <v>197</v>
      </c>
      <c r="B153" s="6" t="s">
        <v>42</v>
      </c>
      <c r="C153" s="23">
        <v>0.94599999999999995</v>
      </c>
      <c r="D153" s="84">
        <v>0.90800000000000003</v>
      </c>
      <c r="E153" s="84">
        <v>0.93600000000000005</v>
      </c>
      <c r="F153" s="123">
        <v>0.97099999999999997</v>
      </c>
      <c r="G153" s="123">
        <v>0.99399999999999999</v>
      </c>
      <c r="H153" s="140">
        <v>1.004</v>
      </c>
      <c r="I153" s="140">
        <v>1.004</v>
      </c>
      <c r="J153" s="140">
        <v>1.004</v>
      </c>
      <c r="K153" s="140">
        <v>1.004</v>
      </c>
      <c r="L153" s="123"/>
      <c r="M153" s="140">
        <v>1.004</v>
      </c>
      <c r="N153" s="140">
        <v>1.004</v>
      </c>
      <c r="O153" s="123"/>
      <c r="P153" s="140">
        <v>1.004</v>
      </c>
      <c r="Q153" s="140">
        <v>1.004</v>
      </c>
    </row>
    <row r="154" spans="1:17" ht="18.75" x14ac:dyDescent="0.2">
      <c r="A154" s="33" t="s">
        <v>198</v>
      </c>
      <c r="B154" s="6" t="s">
        <v>42</v>
      </c>
      <c r="C154" s="29">
        <v>1.4259999999999999</v>
      </c>
      <c r="D154" s="60">
        <v>1.421</v>
      </c>
      <c r="E154" s="60">
        <v>1.4610000000000001</v>
      </c>
      <c r="F154" s="29">
        <v>1.504</v>
      </c>
      <c r="G154" s="29">
        <v>1.508</v>
      </c>
      <c r="H154" s="27">
        <v>1.4970000000000001</v>
      </c>
      <c r="I154" s="27">
        <v>1.4970000000000001</v>
      </c>
      <c r="J154" s="27">
        <v>1.4970000000000001</v>
      </c>
      <c r="K154" s="27">
        <v>1.4970000000000001</v>
      </c>
      <c r="L154" s="29"/>
      <c r="M154" s="27">
        <v>1.4970000000000001</v>
      </c>
      <c r="N154" s="27">
        <v>1.4970000000000001</v>
      </c>
      <c r="O154" s="29"/>
      <c r="P154" s="27">
        <v>1.4970000000000001</v>
      </c>
      <c r="Q154" s="27">
        <v>1.4970000000000001</v>
      </c>
    </row>
    <row r="155" spans="1:17" ht="37.5" x14ac:dyDescent="0.2">
      <c r="A155" s="33" t="s">
        <v>199</v>
      </c>
      <c r="B155" s="6" t="s">
        <v>42</v>
      </c>
      <c r="C155" s="29">
        <v>0.42</v>
      </c>
      <c r="D155" s="60">
        <v>0.42</v>
      </c>
      <c r="E155" s="60">
        <v>0.41599999999999998</v>
      </c>
      <c r="F155" s="29">
        <v>0.28000000000000003</v>
      </c>
      <c r="G155" s="29">
        <v>0.48199999999999998</v>
      </c>
      <c r="H155" s="27">
        <v>0.54300000000000004</v>
      </c>
      <c r="I155" s="27">
        <v>0.54300000000000004</v>
      </c>
      <c r="J155" s="27">
        <v>0.54300000000000004</v>
      </c>
      <c r="K155" s="27">
        <v>0.54300000000000004</v>
      </c>
      <c r="L155" s="29"/>
      <c r="M155" s="27">
        <v>0.54300000000000004</v>
      </c>
      <c r="N155" s="27">
        <v>0.54300000000000004</v>
      </c>
      <c r="O155" s="29"/>
      <c r="P155" s="27">
        <v>0.54300000000000004</v>
      </c>
      <c r="Q155" s="27">
        <v>0.54300000000000004</v>
      </c>
    </row>
    <row r="156" spans="1:17" ht="37.5" x14ac:dyDescent="0.2">
      <c r="A156" s="33" t="s">
        <v>200</v>
      </c>
      <c r="B156" s="6" t="s">
        <v>42</v>
      </c>
      <c r="C156" s="29">
        <v>0.15</v>
      </c>
      <c r="D156" s="60">
        <v>0.155</v>
      </c>
      <c r="E156" s="60">
        <v>0.159</v>
      </c>
      <c r="F156" s="29">
        <v>0.26900000000000002</v>
      </c>
      <c r="G156" s="29">
        <v>0.23499999999999999</v>
      </c>
      <c r="H156" s="27">
        <v>0.25600000000000001</v>
      </c>
      <c r="I156" s="27">
        <v>0.25600000000000001</v>
      </c>
      <c r="J156" s="27">
        <v>0.25600000000000001</v>
      </c>
      <c r="K156" s="27">
        <v>0.25600000000000001</v>
      </c>
      <c r="L156" s="29"/>
      <c r="M156" s="27">
        <v>0.25600000000000001</v>
      </c>
      <c r="N156" s="27">
        <v>0.25600000000000001</v>
      </c>
      <c r="O156" s="29"/>
      <c r="P156" s="27">
        <v>0.25600000000000001</v>
      </c>
      <c r="Q156" s="27">
        <v>0.25600000000000001</v>
      </c>
    </row>
    <row r="157" spans="1:17" ht="18.75" x14ac:dyDescent="0.2">
      <c r="A157" s="33" t="s">
        <v>201</v>
      </c>
      <c r="B157" s="6" t="s">
        <v>42</v>
      </c>
      <c r="C157" s="29">
        <v>0.2</v>
      </c>
      <c r="D157" s="60">
        <v>0.21</v>
      </c>
      <c r="E157" s="60">
        <v>0.48099999999999998</v>
      </c>
      <c r="F157" s="29">
        <v>0.36</v>
      </c>
      <c r="G157" s="29">
        <v>1.224</v>
      </c>
      <c r="H157" s="27">
        <v>1.657</v>
      </c>
      <c r="I157" s="27">
        <v>1.657</v>
      </c>
      <c r="J157" s="27">
        <v>1.657</v>
      </c>
      <c r="K157" s="27">
        <v>1.657</v>
      </c>
      <c r="L157" s="29"/>
      <c r="M157" s="27">
        <v>1.657</v>
      </c>
      <c r="N157" s="27">
        <v>1.657</v>
      </c>
      <c r="O157" s="29"/>
      <c r="P157" s="27">
        <v>1.657</v>
      </c>
      <c r="Q157" s="27">
        <v>1.657</v>
      </c>
    </row>
    <row r="158" spans="1:17" ht="60" customHeight="1" x14ac:dyDescent="0.2">
      <c r="A158" s="56" t="s">
        <v>182</v>
      </c>
      <c r="B158" s="6" t="s">
        <v>42</v>
      </c>
      <c r="C158" s="40">
        <v>5.17</v>
      </c>
      <c r="D158" s="85">
        <v>5.1870000000000003</v>
      </c>
      <c r="E158" s="85">
        <v>4.2939999999999996</v>
      </c>
      <c r="F158" s="124">
        <v>4.1230000000000002</v>
      </c>
      <c r="G158" s="124">
        <v>5.0449999999999999</v>
      </c>
      <c r="H158" s="141">
        <v>6.4809999999999999</v>
      </c>
      <c r="I158" s="134">
        <v>6.6</v>
      </c>
      <c r="J158" s="134">
        <v>6.8</v>
      </c>
      <c r="K158" s="134">
        <v>6.7</v>
      </c>
      <c r="L158" s="134"/>
      <c r="M158" s="134">
        <v>6.7</v>
      </c>
      <c r="N158" s="134">
        <v>6.6</v>
      </c>
      <c r="O158" s="134"/>
      <c r="P158" s="134">
        <v>6.6</v>
      </c>
      <c r="Q158" s="134">
        <v>6.5</v>
      </c>
    </row>
    <row r="159" spans="1:17" ht="56.25" x14ac:dyDescent="0.2">
      <c r="A159" s="33" t="s">
        <v>202</v>
      </c>
      <c r="B159" s="6" t="s">
        <v>42</v>
      </c>
      <c r="C159" s="29">
        <v>0.33500000000000002</v>
      </c>
      <c r="D159" s="99">
        <v>3.7999999999999999E-2</v>
      </c>
      <c r="E159" s="99">
        <v>8.0000000000000002E-3</v>
      </c>
      <c r="F159" s="114">
        <v>7.1999999999999995E-2</v>
      </c>
      <c r="G159" s="114">
        <v>2.1999999999999999E-2</v>
      </c>
      <c r="H159" s="114">
        <v>0.18</v>
      </c>
      <c r="I159" s="114">
        <v>0.18</v>
      </c>
      <c r="J159" s="114">
        <v>0.153</v>
      </c>
      <c r="K159" s="114">
        <v>0.153</v>
      </c>
      <c r="L159" s="114"/>
      <c r="M159" s="114">
        <v>0.14099999999999999</v>
      </c>
      <c r="N159" s="114">
        <v>0.14099999999999999</v>
      </c>
      <c r="O159" s="114"/>
      <c r="P159" s="114">
        <v>0.128</v>
      </c>
      <c r="Q159" s="114">
        <v>0.128</v>
      </c>
    </row>
    <row r="160" spans="1:17" ht="37.5" x14ac:dyDescent="0.2">
      <c r="A160" s="96" t="s">
        <v>203</v>
      </c>
      <c r="B160" s="6" t="s">
        <v>42</v>
      </c>
      <c r="C160" s="5">
        <v>0.2</v>
      </c>
      <c r="D160" s="99">
        <f>D168/1000</f>
        <v>0.76400000000000001</v>
      </c>
      <c r="E160" s="99">
        <f t="shared" ref="E160:F160" si="38">E168/1000</f>
        <v>0.28499999999999998</v>
      </c>
      <c r="F160" s="114">
        <f t="shared" si="38"/>
        <v>0.21</v>
      </c>
      <c r="G160" s="114">
        <f>G168/1000</f>
        <v>0.129</v>
      </c>
      <c r="H160" s="114">
        <f>H168/1000</f>
        <v>0.124</v>
      </c>
      <c r="I160" s="114">
        <f>I168/1000</f>
        <v>0.124</v>
      </c>
      <c r="J160" s="114">
        <f t="shared" ref="J160:Q160" si="39">J168/1000</f>
        <v>0.124</v>
      </c>
      <c r="K160" s="114">
        <f t="shared" si="39"/>
        <v>0.124</v>
      </c>
      <c r="L160" s="114">
        <f t="shared" si="39"/>
        <v>0.124</v>
      </c>
      <c r="M160" s="114">
        <f t="shared" si="39"/>
        <v>0.124</v>
      </c>
      <c r="N160" s="114">
        <f t="shared" si="39"/>
        <v>0.124</v>
      </c>
      <c r="O160" s="114">
        <f t="shared" si="39"/>
        <v>0.124</v>
      </c>
      <c r="P160" s="114">
        <f t="shared" si="39"/>
        <v>0.124</v>
      </c>
      <c r="Q160" s="114">
        <f t="shared" si="39"/>
        <v>0.124</v>
      </c>
    </row>
    <row r="161" spans="1:20" ht="45" customHeight="1" x14ac:dyDescent="0.2">
      <c r="A161" s="33" t="s">
        <v>204</v>
      </c>
      <c r="B161" s="6" t="s">
        <v>42</v>
      </c>
      <c r="C161" s="29">
        <f t="shared" ref="C161:E161" si="40">C158-C159-C160</f>
        <v>4.6349999999999998</v>
      </c>
      <c r="D161" s="99">
        <f t="shared" si="40"/>
        <v>4.3849999999999998</v>
      </c>
      <c r="E161" s="99">
        <f t="shared" si="40"/>
        <v>4.0009999999999994</v>
      </c>
      <c r="F161" s="114">
        <f>F158-F159-F160</f>
        <v>3.8410000000000002</v>
      </c>
      <c r="G161" s="114">
        <f>G158-G159-G160</f>
        <v>4.8940000000000001</v>
      </c>
      <c r="H161" s="114">
        <f>H158-H159-H160</f>
        <v>6.1770000000000005</v>
      </c>
      <c r="I161" s="114">
        <f>I158-I159-I160</f>
        <v>6.2960000000000003</v>
      </c>
      <c r="J161" s="114">
        <f t="shared" ref="J161:Q161" si="41">J158-J159-J160</f>
        <v>6.5230000000000006</v>
      </c>
      <c r="K161" s="114">
        <f>K158-K159-K160</f>
        <v>6.4230000000000009</v>
      </c>
      <c r="L161" s="114">
        <f t="shared" si="41"/>
        <v>-0.124</v>
      </c>
      <c r="M161" s="114">
        <f t="shared" si="41"/>
        <v>6.4350000000000005</v>
      </c>
      <c r="N161" s="114">
        <f t="shared" si="41"/>
        <v>6.335</v>
      </c>
      <c r="O161" s="114">
        <f t="shared" si="41"/>
        <v>-0.124</v>
      </c>
      <c r="P161" s="114">
        <f t="shared" si="41"/>
        <v>6.3479999999999999</v>
      </c>
      <c r="Q161" s="114">
        <f t="shared" si="41"/>
        <v>6.2480000000000002</v>
      </c>
    </row>
    <row r="162" spans="1:20" ht="60.75" customHeight="1" x14ac:dyDescent="0.2">
      <c r="A162" s="12" t="s">
        <v>205</v>
      </c>
      <c r="B162" s="26" t="s">
        <v>169</v>
      </c>
      <c r="C162" s="40">
        <v>39156.53</v>
      </c>
      <c r="D162" s="59">
        <f>D171/D170/12</f>
        <v>43469.907407407409</v>
      </c>
      <c r="E162" s="62">
        <f t="shared" ref="E162:Q162" si="42">E171/E170/12</f>
        <v>44238.683127572025</v>
      </c>
      <c r="F162" s="41">
        <f>F171/F170/12</f>
        <v>48189.873417721516</v>
      </c>
      <c r="G162" s="41">
        <f>G171/G170/12</f>
        <v>53560.515873015866</v>
      </c>
      <c r="H162" s="41">
        <f>H171/H170/12</f>
        <v>61901.960784313727</v>
      </c>
      <c r="I162" s="41">
        <f>I171/I170/12</f>
        <v>71618.627450980392</v>
      </c>
      <c r="J162" s="41">
        <f>J171/J170/12</f>
        <v>77453.529411764714</v>
      </c>
      <c r="K162" s="41">
        <f t="shared" si="42"/>
        <v>79092.156862745105</v>
      </c>
      <c r="L162" s="41">
        <f t="shared" si="42"/>
        <v>0</v>
      </c>
      <c r="M162" s="41">
        <f t="shared" si="42"/>
        <v>84513.23529411765</v>
      </c>
      <c r="N162" s="41">
        <f t="shared" si="42"/>
        <v>86237.254901960783</v>
      </c>
      <c r="O162" s="41">
        <f t="shared" si="42"/>
        <v>0</v>
      </c>
      <c r="P162" s="41">
        <f t="shared" si="42"/>
        <v>91179.215686274518</v>
      </c>
      <c r="Q162" s="41">
        <f t="shared" si="42"/>
        <v>93152.941176470587</v>
      </c>
    </row>
    <row r="163" spans="1:20" ht="56.25" x14ac:dyDescent="0.2">
      <c r="A163" s="17" t="s">
        <v>206</v>
      </c>
      <c r="B163" s="26" t="s">
        <v>208</v>
      </c>
      <c r="C163" s="29">
        <v>116.8</v>
      </c>
      <c r="D163" s="60">
        <f t="shared" ref="D163:G163" si="43">D162/C162*100</f>
        <v>111.0157294515306</v>
      </c>
      <c r="E163" s="60">
        <f t="shared" si="43"/>
        <v>101.76852394222864</v>
      </c>
      <c r="F163" s="29">
        <f t="shared" si="43"/>
        <v>108.93152781866348</v>
      </c>
      <c r="G163" s="29">
        <f t="shared" si="43"/>
        <v>111.14475319065546</v>
      </c>
      <c r="H163" s="29">
        <f>H162/G162*100</f>
        <v>115.57386962267915</v>
      </c>
      <c r="I163" s="29">
        <f>I162/H162*100</f>
        <v>115.69686411149824</v>
      </c>
      <c r="J163" s="29">
        <f>J162/I162*100</f>
        <v>108.14718484346552</v>
      </c>
      <c r="K163" s="29">
        <f>K162/I162*100</f>
        <v>110.43517542538774</v>
      </c>
      <c r="L163" s="29"/>
      <c r="M163" s="29">
        <f>M162/J162*100</f>
        <v>109.11476331158721</v>
      </c>
      <c r="N163" s="29">
        <f>N162/K162*100</f>
        <v>109.03388948112153</v>
      </c>
      <c r="O163" s="29"/>
      <c r="P163" s="29">
        <f>P162/M162*100</f>
        <v>107.88749876745145</v>
      </c>
      <c r="Q163" s="29">
        <f>Q162/N162*100</f>
        <v>108.01937200154612</v>
      </c>
      <c r="S163" s="9" t="s">
        <v>54</v>
      </c>
    </row>
    <row r="164" spans="1:20" ht="37.5" x14ac:dyDescent="0.2">
      <c r="A164" s="16" t="s">
        <v>207</v>
      </c>
      <c r="B164" s="26" t="s">
        <v>208</v>
      </c>
      <c r="C164" s="5">
        <f>C163/105.9</f>
        <v>1.1029272898961284</v>
      </c>
      <c r="D164" s="61">
        <f>D163/103.2</f>
        <v>1.0757338125148315</v>
      </c>
      <c r="E164" s="58">
        <f>E163/106.4</f>
        <v>0.95647108968259997</v>
      </c>
      <c r="F164" s="21">
        <f>F163/119.6</f>
        <v>0.91079872758079838</v>
      </c>
      <c r="G164" s="21">
        <f>G163/105.2</f>
        <v>1.0565090607476755</v>
      </c>
      <c r="H164" s="21">
        <f>H163/106.8</f>
        <v>1.0821523372910034</v>
      </c>
      <c r="I164" s="21">
        <f>I163/109.4</f>
        <v>1.0575581728656147</v>
      </c>
      <c r="J164" s="21">
        <f>J163/105.5</f>
        <v>1.0250917994641282</v>
      </c>
      <c r="K164" s="21">
        <f>K163/105.4</f>
        <v>1.0477720628594662</v>
      </c>
      <c r="L164" s="21"/>
      <c r="M164" s="21">
        <f>M163/104.1</f>
        <v>1.0481725582285035</v>
      </c>
      <c r="N164" s="21">
        <f>N163/104.1</f>
        <v>1.0473956722490061</v>
      </c>
      <c r="O164" s="21"/>
      <c r="P164" s="21">
        <f>P163/104.1</f>
        <v>1.03638327346255</v>
      </c>
      <c r="Q164" s="21">
        <f>Q163/104.1</f>
        <v>1.0376500672578879</v>
      </c>
    </row>
    <row r="165" spans="1:20" ht="37.5" x14ac:dyDescent="0.2">
      <c r="A165" s="97" t="s">
        <v>209</v>
      </c>
      <c r="B165" s="113" t="s">
        <v>210</v>
      </c>
      <c r="C165" s="5">
        <v>13.2</v>
      </c>
      <c r="D165" s="61" t="e">
        <f t="shared" ref="D165:Q165" si="44">D167/D137*100/1000</f>
        <v>#REF!</v>
      </c>
      <c r="E165" s="61" t="e">
        <f t="shared" si="44"/>
        <v>#REF!</v>
      </c>
      <c r="F165" s="29">
        <f t="shared" si="44"/>
        <v>5.9862857142857147</v>
      </c>
      <c r="G165" s="29">
        <f t="shared" si="44"/>
        <v>4.6097674418604653</v>
      </c>
      <c r="H165" s="5">
        <f t="shared" si="44"/>
        <v>6.5341935483870968</v>
      </c>
      <c r="I165" s="5">
        <f t="shared" si="44"/>
        <v>6.5341935483870968</v>
      </c>
      <c r="J165" s="5">
        <f t="shared" si="44"/>
        <v>6.5341935483870968</v>
      </c>
      <c r="K165" s="5">
        <f t="shared" si="44"/>
        <v>6.5341935483870968</v>
      </c>
      <c r="L165" s="5">
        <f t="shared" si="44"/>
        <v>6.5341935483870968</v>
      </c>
      <c r="M165" s="5">
        <f t="shared" si="44"/>
        <v>6.5341935483870968</v>
      </c>
      <c r="N165" s="5">
        <f t="shared" si="44"/>
        <v>6.5341935483870968</v>
      </c>
      <c r="O165" s="5">
        <f t="shared" si="44"/>
        <v>6.5341935483870968</v>
      </c>
      <c r="P165" s="5">
        <f t="shared" si="44"/>
        <v>6.5341935483870968</v>
      </c>
      <c r="Q165" s="5">
        <f t="shared" si="44"/>
        <v>6.5341935483870968</v>
      </c>
      <c r="R165" s="94"/>
    </row>
    <row r="166" spans="1:20" ht="37.5" x14ac:dyDescent="0.2">
      <c r="A166" s="97" t="s">
        <v>55</v>
      </c>
      <c r="B166" s="26" t="s">
        <v>32</v>
      </c>
      <c r="C166" s="5">
        <v>1.1000000000000001</v>
      </c>
      <c r="D166" s="86">
        <v>4</v>
      </c>
      <c r="E166" s="103">
        <v>1.53</v>
      </c>
      <c r="F166" s="125">
        <v>1.08</v>
      </c>
      <c r="G166" s="125">
        <v>0.66</v>
      </c>
      <c r="H166" s="125">
        <v>0.64</v>
      </c>
      <c r="I166" s="125">
        <v>0.64</v>
      </c>
      <c r="J166" s="125">
        <v>0.64</v>
      </c>
      <c r="K166" s="125">
        <v>0.64</v>
      </c>
      <c r="L166" s="125">
        <v>0.64</v>
      </c>
      <c r="M166" s="125">
        <v>0.64</v>
      </c>
      <c r="N166" s="125">
        <v>0.64</v>
      </c>
      <c r="O166" s="125">
        <v>0.64</v>
      </c>
      <c r="P166" s="125">
        <v>0.64</v>
      </c>
      <c r="Q166" s="125">
        <v>0.64</v>
      </c>
      <c r="T166" s="146"/>
    </row>
    <row r="167" spans="1:20" ht="18.75" x14ac:dyDescent="0.2">
      <c r="A167" s="97" t="s">
        <v>56</v>
      </c>
      <c r="B167" s="26" t="s">
        <v>211</v>
      </c>
      <c r="C167" s="23">
        <v>2580</v>
      </c>
      <c r="D167" s="87">
        <v>2123</v>
      </c>
      <c r="E167" s="87">
        <v>707</v>
      </c>
      <c r="F167" s="26">
        <v>1164</v>
      </c>
      <c r="G167" s="26">
        <v>901</v>
      </c>
      <c r="H167" s="26">
        <v>1266</v>
      </c>
      <c r="I167" s="26">
        <v>1266</v>
      </c>
      <c r="J167" s="26">
        <v>1266</v>
      </c>
      <c r="K167" s="26">
        <v>1266</v>
      </c>
      <c r="L167" s="26">
        <v>1266</v>
      </c>
      <c r="M167" s="26">
        <v>1266</v>
      </c>
      <c r="N167" s="26">
        <v>1266</v>
      </c>
      <c r="O167" s="26">
        <v>1266</v>
      </c>
      <c r="P167" s="26">
        <v>1266</v>
      </c>
      <c r="Q167" s="26">
        <v>1266</v>
      </c>
      <c r="T167" s="146"/>
    </row>
    <row r="168" spans="1:20" ht="56.25" x14ac:dyDescent="0.2">
      <c r="A168" s="97" t="s">
        <v>57</v>
      </c>
      <c r="B168" s="26" t="s">
        <v>211</v>
      </c>
      <c r="C168" s="23">
        <v>206</v>
      </c>
      <c r="D168" s="87">
        <v>764</v>
      </c>
      <c r="E168" s="87">
        <v>285</v>
      </c>
      <c r="F168" s="26">
        <v>210</v>
      </c>
      <c r="G168" s="26">
        <v>129</v>
      </c>
      <c r="H168" s="26">
        <v>124</v>
      </c>
      <c r="I168" s="26">
        <v>124</v>
      </c>
      <c r="J168" s="26">
        <v>124</v>
      </c>
      <c r="K168" s="26">
        <v>124</v>
      </c>
      <c r="L168" s="26">
        <v>124</v>
      </c>
      <c r="M168" s="26">
        <v>124</v>
      </c>
      <c r="N168" s="26">
        <v>124</v>
      </c>
      <c r="O168" s="26">
        <v>124</v>
      </c>
      <c r="P168" s="26">
        <v>124</v>
      </c>
      <c r="Q168" s="26">
        <v>124</v>
      </c>
      <c r="T168" s="147"/>
    </row>
    <row r="169" spans="1:20" ht="104.25" customHeight="1" x14ac:dyDescent="0.2">
      <c r="A169" s="98" t="s">
        <v>58</v>
      </c>
      <c r="B169" s="26" t="s">
        <v>211</v>
      </c>
      <c r="C169" s="29">
        <v>2</v>
      </c>
      <c r="D169" s="87">
        <v>5.6</v>
      </c>
      <c r="E169" s="87">
        <v>1.4</v>
      </c>
      <c r="F169" s="126">
        <v>1</v>
      </c>
      <c r="G169" s="26">
        <v>0.6</v>
      </c>
      <c r="H169" s="26">
        <v>0.66</v>
      </c>
      <c r="I169" s="26">
        <v>0.66</v>
      </c>
      <c r="J169" s="26">
        <v>0.66</v>
      </c>
      <c r="K169" s="26">
        <v>0.66</v>
      </c>
      <c r="L169" s="26">
        <v>0.66</v>
      </c>
      <c r="M169" s="26">
        <v>0.66</v>
      </c>
      <c r="N169" s="26">
        <v>0.66</v>
      </c>
      <c r="O169" s="26">
        <v>0.66</v>
      </c>
      <c r="P169" s="26">
        <v>0.66</v>
      </c>
      <c r="Q169" s="26">
        <v>0.66</v>
      </c>
      <c r="T169" s="146"/>
    </row>
    <row r="170" spans="1:20" ht="49.5" customHeight="1" x14ac:dyDescent="0.2">
      <c r="A170" s="17" t="s">
        <v>81</v>
      </c>
      <c r="B170" s="26" t="s">
        <v>42</v>
      </c>
      <c r="C170" s="41">
        <v>7.4</v>
      </c>
      <c r="D170" s="88">
        <v>7.2</v>
      </c>
      <c r="E170" s="87">
        <v>8.1</v>
      </c>
      <c r="F170" s="26">
        <v>7.9</v>
      </c>
      <c r="G170" s="126">
        <v>8.4</v>
      </c>
      <c r="H170" s="126">
        <v>8.5</v>
      </c>
      <c r="I170" s="126">
        <v>8.5</v>
      </c>
      <c r="J170" s="126">
        <v>8.5</v>
      </c>
      <c r="K170" s="126">
        <v>8.5</v>
      </c>
      <c r="L170" s="126">
        <v>8.5</v>
      </c>
      <c r="M170" s="126">
        <v>8.5</v>
      </c>
      <c r="N170" s="126">
        <v>8.5</v>
      </c>
      <c r="O170" s="126">
        <v>8.5</v>
      </c>
      <c r="P170" s="126">
        <v>8.5</v>
      </c>
      <c r="Q170" s="126">
        <v>8.5</v>
      </c>
    </row>
    <row r="171" spans="1:20" ht="43.5" customHeight="1" x14ac:dyDescent="0.2">
      <c r="A171" s="10" t="s">
        <v>59</v>
      </c>
      <c r="B171" s="26" t="s">
        <v>25</v>
      </c>
      <c r="C171" s="41">
        <v>3477100</v>
      </c>
      <c r="D171" s="88">
        <v>3755800</v>
      </c>
      <c r="E171" s="105">
        <v>4300000</v>
      </c>
      <c r="F171" s="109">
        <v>4568400</v>
      </c>
      <c r="G171" s="109">
        <v>5398900</v>
      </c>
      <c r="H171" s="109">
        <v>6314000</v>
      </c>
      <c r="I171" s="109">
        <v>7305100</v>
      </c>
      <c r="J171" s="109">
        <v>7900260</v>
      </c>
      <c r="K171" s="109">
        <v>8067400</v>
      </c>
      <c r="L171" s="109"/>
      <c r="M171" s="109">
        <v>8620350</v>
      </c>
      <c r="N171" s="109">
        <v>8796200</v>
      </c>
      <c r="O171" s="109"/>
      <c r="P171" s="109">
        <v>9300280</v>
      </c>
      <c r="Q171" s="109">
        <v>9501600</v>
      </c>
    </row>
    <row r="172" spans="1:20" ht="37.5" x14ac:dyDescent="0.2">
      <c r="A172" s="16" t="s">
        <v>168</v>
      </c>
      <c r="B172" s="26" t="s">
        <v>208</v>
      </c>
      <c r="C172" s="29">
        <v>113.7</v>
      </c>
      <c r="D172" s="86">
        <f t="shared" ref="D172:G172" si="45">D171/C171*100</f>
        <v>108.01530010641052</v>
      </c>
      <c r="E172" s="86">
        <f t="shared" si="45"/>
        <v>114.4895894350072</v>
      </c>
      <c r="F172" s="126">
        <f t="shared" si="45"/>
        <v>106.24186046511628</v>
      </c>
      <c r="G172" s="126">
        <f t="shared" si="45"/>
        <v>118.17923124069696</v>
      </c>
      <c r="H172" s="126">
        <f>H171/G171*100</f>
        <v>116.94974902294912</v>
      </c>
      <c r="I172" s="126">
        <f>I171/H171*100</f>
        <v>115.69686411149827</v>
      </c>
      <c r="J172" s="126">
        <f>J171/I171*100</f>
        <v>108.14718484346552</v>
      </c>
      <c r="K172" s="126">
        <f>K171/I171*100</f>
        <v>110.43517542538774</v>
      </c>
      <c r="L172" s="26"/>
      <c r="M172" s="126">
        <f>M171/J171*100</f>
        <v>109.11476331158721</v>
      </c>
      <c r="N172" s="126">
        <f>N171/K171*100</f>
        <v>109.03388948112156</v>
      </c>
      <c r="O172" s="26"/>
      <c r="P172" s="126">
        <f>P171/M171*100</f>
        <v>107.88749876745143</v>
      </c>
      <c r="Q172" s="126">
        <f>Q171/N171*100</f>
        <v>108.01937200154612</v>
      </c>
    </row>
    <row r="173" spans="1:20" ht="18.75" x14ac:dyDescent="0.2">
      <c r="A173" s="12" t="s">
        <v>160</v>
      </c>
      <c r="B173" s="19"/>
      <c r="C173" s="51"/>
      <c r="D173" s="89"/>
      <c r="E173" s="8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1:20" ht="37.5" x14ac:dyDescent="0.3">
      <c r="A174" s="17" t="s">
        <v>60</v>
      </c>
      <c r="B174" s="26" t="s">
        <v>211</v>
      </c>
      <c r="C174" s="52">
        <v>2396</v>
      </c>
      <c r="D174" s="90">
        <v>2289</v>
      </c>
      <c r="E174" s="90">
        <v>2281</v>
      </c>
      <c r="F174" s="52">
        <v>2216</v>
      </c>
      <c r="G174" s="52">
        <v>2076</v>
      </c>
      <c r="H174" s="52">
        <v>2076</v>
      </c>
      <c r="I174" s="52">
        <v>1982</v>
      </c>
      <c r="J174" s="52">
        <v>1961</v>
      </c>
      <c r="K174" s="52">
        <v>1961</v>
      </c>
      <c r="L174" s="52"/>
      <c r="M174" s="52">
        <v>1940</v>
      </c>
      <c r="N174" s="52">
        <v>1940</v>
      </c>
      <c r="O174" s="52"/>
      <c r="P174" s="52">
        <v>1918</v>
      </c>
      <c r="Q174" s="52">
        <v>1918</v>
      </c>
      <c r="T174" s="94"/>
    </row>
    <row r="175" spans="1:20" ht="75" x14ac:dyDescent="0.3">
      <c r="A175" s="17" t="s">
        <v>61</v>
      </c>
      <c r="B175" s="26" t="s">
        <v>211</v>
      </c>
      <c r="C175" s="52">
        <v>5248</v>
      </c>
      <c r="D175" s="90">
        <v>5417</v>
      </c>
      <c r="E175" s="90">
        <v>5576</v>
      </c>
      <c r="F175" s="52">
        <v>5820</v>
      </c>
      <c r="G175" s="52">
        <v>5993</v>
      </c>
      <c r="H175" s="52">
        <v>6046</v>
      </c>
      <c r="I175" s="52">
        <v>6017</v>
      </c>
      <c r="J175" s="52">
        <v>5998</v>
      </c>
      <c r="K175" s="52">
        <v>5998</v>
      </c>
      <c r="L175" s="52"/>
      <c r="M175" s="52">
        <v>5977</v>
      </c>
      <c r="N175" s="52">
        <v>5977</v>
      </c>
      <c r="O175" s="52"/>
      <c r="P175" s="52">
        <v>5956</v>
      </c>
      <c r="Q175" s="52">
        <v>5956</v>
      </c>
    </row>
    <row r="176" spans="1:20" ht="56.25" x14ac:dyDescent="0.3">
      <c r="A176" s="17" t="s">
        <v>62</v>
      </c>
      <c r="B176" s="26" t="s">
        <v>211</v>
      </c>
      <c r="C176" s="52">
        <v>200</v>
      </c>
      <c r="D176" s="90">
        <v>314</v>
      </c>
      <c r="E176" s="90">
        <v>315</v>
      </c>
      <c r="F176" s="52">
        <v>350</v>
      </c>
      <c r="G176" s="52">
        <v>307</v>
      </c>
      <c r="H176" s="52">
        <v>288</v>
      </c>
      <c r="I176" s="52">
        <v>205</v>
      </c>
      <c r="J176" s="52">
        <v>230</v>
      </c>
      <c r="K176" s="52">
        <v>230</v>
      </c>
      <c r="L176" s="52"/>
      <c r="M176" s="52">
        <v>230</v>
      </c>
      <c r="N176" s="52">
        <v>230</v>
      </c>
      <c r="O176" s="52"/>
      <c r="P176" s="52">
        <v>230</v>
      </c>
      <c r="Q176" s="52">
        <v>230</v>
      </c>
    </row>
    <row r="177" spans="1:17" ht="18.75" x14ac:dyDescent="0.3">
      <c r="A177" s="10" t="s">
        <v>63</v>
      </c>
      <c r="B177" s="19"/>
      <c r="C177" s="53"/>
      <c r="D177" s="90"/>
      <c r="E177" s="90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</row>
    <row r="178" spans="1:17" ht="56.25" x14ac:dyDescent="0.3">
      <c r="A178" s="17" t="s">
        <v>64</v>
      </c>
      <c r="B178" s="26" t="s">
        <v>211</v>
      </c>
      <c r="C178" s="52">
        <v>200</v>
      </c>
      <c r="D178" s="90">
        <v>75</v>
      </c>
      <c r="E178" s="90">
        <v>105</v>
      </c>
      <c r="F178" s="52">
        <v>127</v>
      </c>
      <c r="G178" s="52">
        <v>84</v>
      </c>
      <c r="H178" s="52">
        <v>80</v>
      </c>
      <c r="I178" s="52">
        <v>160</v>
      </c>
      <c r="J178" s="52">
        <v>90</v>
      </c>
      <c r="K178" s="52">
        <v>90</v>
      </c>
      <c r="L178" s="52"/>
      <c r="M178" s="52">
        <v>90</v>
      </c>
      <c r="N178" s="52">
        <v>90</v>
      </c>
      <c r="O178" s="52"/>
      <c r="P178" s="52">
        <v>90</v>
      </c>
      <c r="Q178" s="52">
        <v>90</v>
      </c>
    </row>
    <row r="179" spans="1:17" ht="18.75" x14ac:dyDescent="0.3">
      <c r="A179" s="10" t="s">
        <v>65</v>
      </c>
      <c r="B179" s="19"/>
      <c r="C179" s="54"/>
      <c r="D179" s="91"/>
      <c r="E179" s="91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</row>
    <row r="180" spans="1:17" ht="18.75" x14ac:dyDescent="0.3">
      <c r="A180" s="16" t="s">
        <v>66</v>
      </c>
      <c r="B180" s="19"/>
      <c r="C180" s="54"/>
      <c r="D180" s="91"/>
      <c r="E180" s="91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</row>
    <row r="181" spans="1:17" ht="37.5" x14ac:dyDescent="0.3">
      <c r="A181" s="16" t="s">
        <v>67</v>
      </c>
      <c r="B181" s="4" t="s">
        <v>68</v>
      </c>
      <c r="C181" s="54">
        <v>27.6</v>
      </c>
      <c r="D181" s="91">
        <v>22.4</v>
      </c>
      <c r="E181" s="91">
        <v>19.899999999999999</v>
      </c>
      <c r="F181" s="54">
        <v>17.3</v>
      </c>
      <c r="G181" s="54">
        <v>18.3</v>
      </c>
      <c r="H181" s="54">
        <v>18</v>
      </c>
      <c r="I181" s="54">
        <v>21</v>
      </c>
      <c r="J181" s="54">
        <v>21</v>
      </c>
      <c r="K181" s="54">
        <v>21</v>
      </c>
      <c r="L181" s="54">
        <v>21</v>
      </c>
      <c r="M181" s="54">
        <v>21</v>
      </c>
      <c r="N181" s="54">
        <v>21</v>
      </c>
      <c r="O181" s="54">
        <v>21</v>
      </c>
      <c r="P181" s="54">
        <v>21</v>
      </c>
      <c r="Q181" s="54">
        <v>21</v>
      </c>
    </row>
    <row r="182" spans="1:17" ht="75" x14ac:dyDescent="0.3">
      <c r="A182" s="16" t="s">
        <v>69</v>
      </c>
      <c r="B182" s="4" t="s">
        <v>70</v>
      </c>
      <c r="C182" s="55">
        <v>98.3</v>
      </c>
      <c r="D182" s="91">
        <v>60.5</v>
      </c>
      <c r="E182" s="91">
        <v>60.8</v>
      </c>
      <c r="F182" s="54">
        <v>52.7</v>
      </c>
      <c r="G182" s="54">
        <v>53.5</v>
      </c>
      <c r="H182" s="142">
        <v>53.6</v>
      </c>
      <c r="I182" s="142">
        <v>53.6</v>
      </c>
      <c r="J182" s="54">
        <v>53.8</v>
      </c>
      <c r="K182" s="54">
        <v>53.8</v>
      </c>
      <c r="L182" s="54"/>
      <c r="M182" s="54">
        <v>53.8</v>
      </c>
      <c r="N182" s="54">
        <v>53.8</v>
      </c>
      <c r="O182" s="54"/>
      <c r="P182" s="54">
        <v>54</v>
      </c>
      <c r="Q182" s="54">
        <v>54</v>
      </c>
    </row>
    <row r="183" spans="1:17" ht="75" x14ac:dyDescent="0.3">
      <c r="A183" s="16" t="s">
        <v>71</v>
      </c>
      <c r="B183" s="4" t="s">
        <v>70</v>
      </c>
      <c r="C183" s="55">
        <v>61</v>
      </c>
      <c r="D183" s="91">
        <v>72.5</v>
      </c>
      <c r="E183" s="91">
        <v>73</v>
      </c>
      <c r="F183" s="54">
        <v>63.3</v>
      </c>
      <c r="G183" s="54">
        <v>64.2</v>
      </c>
      <c r="H183" s="54">
        <v>64.400000000000006</v>
      </c>
      <c r="I183" s="54">
        <v>64.3</v>
      </c>
      <c r="J183" s="54">
        <v>64.5</v>
      </c>
      <c r="K183" s="54">
        <v>64.5</v>
      </c>
      <c r="L183" s="54"/>
      <c r="M183" s="54">
        <v>66.8</v>
      </c>
      <c r="N183" s="54">
        <v>66.8</v>
      </c>
      <c r="O183" s="54"/>
      <c r="P183" s="54">
        <v>66.900000000000006</v>
      </c>
      <c r="Q183" s="54">
        <v>66.900000000000006</v>
      </c>
    </row>
    <row r="184" spans="1:17" ht="75" x14ac:dyDescent="0.3">
      <c r="A184" s="16" t="s">
        <v>72</v>
      </c>
      <c r="B184" s="4" t="s">
        <v>92</v>
      </c>
      <c r="C184" s="55">
        <v>918</v>
      </c>
      <c r="D184" s="91">
        <v>1223</v>
      </c>
      <c r="E184" s="91">
        <v>1073</v>
      </c>
      <c r="F184" s="54">
        <v>663</v>
      </c>
      <c r="G184" s="54">
        <v>758</v>
      </c>
      <c r="H184" s="54">
        <v>771</v>
      </c>
      <c r="I184" s="54">
        <v>723</v>
      </c>
      <c r="J184" s="54">
        <v>738</v>
      </c>
      <c r="K184" s="54">
        <v>738</v>
      </c>
      <c r="L184" s="54"/>
      <c r="M184" s="54">
        <v>749</v>
      </c>
      <c r="N184" s="54">
        <v>749</v>
      </c>
      <c r="O184" s="54"/>
      <c r="P184" s="54">
        <v>758</v>
      </c>
      <c r="Q184" s="54">
        <v>758</v>
      </c>
    </row>
    <row r="185" spans="1:17" ht="75" x14ac:dyDescent="0.3">
      <c r="A185" s="16" t="s">
        <v>73</v>
      </c>
      <c r="B185" s="6" t="s">
        <v>74</v>
      </c>
      <c r="C185" s="54">
        <v>124.8</v>
      </c>
      <c r="D185" s="91">
        <v>141.80000000000001</v>
      </c>
      <c r="E185" s="91">
        <v>154.19999999999999</v>
      </c>
      <c r="F185" s="54">
        <v>153.80000000000001</v>
      </c>
      <c r="G185" s="54">
        <v>155.6</v>
      </c>
      <c r="H185" s="54">
        <v>153.5</v>
      </c>
      <c r="I185" s="54">
        <v>153</v>
      </c>
      <c r="J185" s="54">
        <v>153</v>
      </c>
      <c r="K185" s="54">
        <v>153</v>
      </c>
      <c r="L185" s="54"/>
      <c r="M185" s="54">
        <v>152.69999999999999</v>
      </c>
      <c r="N185" s="54">
        <v>152.69999999999999</v>
      </c>
      <c r="O185" s="54"/>
      <c r="P185" s="54">
        <v>152</v>
      </c>
      <c r="Q185" s="54">
        <v>152</v>
      </c>
    </row>
    <row r="186" spans="1:17" ht="18.75" x14ac:dyDescent="0.3">
      <c r="A186" s="16" t="s">
        <v>75</v>
      </c>
      <c r="B186" s="4"/>
      <c r="C186" s="54"/>
      <c r="D186" s="91"/>
      <c r="E186" s="91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</row>
    <row r="187" spans="1:17" ht="56.25" x14ac:dyDescent="0.3">
      <c r="A187" s="16" t="s">
        <v>76</v>
      </c>
      <c r="B187" s="6" t="s">
        <v>77</v>
      </c>
      <c r="C187" s="54">
        <v>4.2000000000000003E-2</v>
      </c>
      <c r="D187" s="91">
        <v>3.5000000000000003E-2</v>
      </c>
      <c r="E187" s="91">
        <v>4.7E-2</v>
      </c>
      <c r="F187" s="54">
        <v>4.3999999999999997E-2</v>
      </c>
      <c r="G187" s="54">
        <v>5.2999999999999999E-2</v>
      </c>
      <c r="H187" s="127">
        <v>0.05</v>
      </c>
      <c r="I187" s="127">
        <v>5.1999999999999998E-2</v>
      </c>
      <c r="J187" s="54">
        <v>5.3999999999999999E-2</v>
      </c>
      <c r="K187" s="54">
        <v>5.3999999999999999E-2</v>
      </c>
      <c r="L187" s="54"/>
      <c r="M187" s="54">
        <v>5.5E-2</v>
      </c>
      <c r="N187" s="54">
        <v>5.5E-2</v>
      </c>
      <c r="O187" s="54"/>
      <c r="P187" s="54">
        <v>5.5E-2</v>
      </c>
      <c r="Q187" s="54">
        <v>5.5E-2</v>
      </c>
    </row>
    <row r="188" spans="1:17" ht="56.25" x14ac:dyDescent="0.3">
      <c r="A188" s="16" t="s">
        <v>78</v>
      </c>
      <c r="B188" s="6" t="s">
        <v>77</v>
      </c>
      <c r="C188" s="54">
        <v>0.16900000000000001</v>
      </c>
      <c r="D188" s="92">
        <v>0.17</v>
      </c>
      <c r="E188" s="92">
        <v>0.19500000000000001</v>
      </c>
      <c r="F188" s="127">
        <v>0.19600000000000001</v>
      </c>
      <c r="G188" s="127">
        <v>0.217</v>
      </c>
      <c r="H188" s="127">
        <v>0.22700000000000001</v>
      </c>
      <c r="I188" s="127">
        <v>0.23100000000000001</v>
      </c>
      <c r="J188" s="54">
        <v>0.23300000000000001</v>
      </c>
      <c r="K188" s="54">
        <v>0.23300000000000001</v>
      </c>
      <c r="L188" s="54"/>
      <c r="M188" s="54">
        <v>0.23499999999999999</v>
      </c>
      <c r="N188" s="54">
        <v>0.23499999999999999</v>
      </c>
      <c r="O188" s="54"/>
      <c r="P188" s="54">
        <v>0.23499999999999999</v>
      </c>
      <c r="Q188" s="54">
        <v>0.23499999999999999</v>
      </c>
    </row>
  </sheetData>
  <mergeCells count="18">
    <mergeCell ref="A2:Q2"/>
    <mergeCell ref="A3:Q3"/>
    <mergeCell ref="A4:Q4"/>
    <mergeCell ref="J8:L8"/>
    <mergeCell ref="M8:O8"/>
    <mergeCell ref="B7:B10"/>
    <mergeCell ref="P8:Q8"/>
    <mergeCell ref="A5:Q5"/>
    <mergeCell ref="J7:Q7"/>
    <mergeCell ref="A7:A10"/>
    <mergeCell ref="C8:C10"/>
    <mergeCell ref="F8:F10"/>
    <mergeCell ref="G8:G10"/>
    <mergeCell ref="I8:I10"/>
    <mergeCell ref="U46:X46"/>
    <mergeCell ref="D8:D10"/>
    <mergeCell ref="E8:E10"/>
    <mergeCell ref="H8:H10"/>
  </mergeCells>
  <pageMargins left="0.78740157480314965" right="0.19685039370078741" top="0.39370078740157483" bottom="0.19685039370078741" header="0" footer="0"/>
  <pageSetup paperSize="9" scale="4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"/>
  <sheetViews>
    <sheetView workbookViewId="0">
      <selection activeCell="D5" sqref="D5"/>
    </sheetView>
  </sheetViews>
  <sheetFormatPr defaultRowHeight="12.75" x14ac:dyDescent="0.2"/>
  <sheetData>
    <row r="5" spans="4:4" x14ac:dyDescent="0.2">
      <c r="D5" s="13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2п исправл</vt:lpstr>
      <vt:lpstr>Лист1</vt:lpstr>
      <vt:lpstr>'форма 2п исправл'!Заголовки_для_печати</vt:lpstr>
    </vt:vector>
  </TitlesOfParts>
  <Company>economy.gov.ru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YakuninaOI</cp:lastModifiedBy>
  <cp:lastPrinted>2025-08-26T03:23:58Z</cp:lastPrinted>
  <dcterms:created xsi:type="dcterms:W3CDTF">2013-05-25T16:45:04Z</dcterms:created>
  <dcterms:modified xsi:type="dcterms:W3CDTF">2025-09-30T03:18:46Z</dcterms:modified>
</cp:coreProperties>
</file>