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kuninaOI\Desktop\"/>
    </mc:Choice>
  </mc:AlternateContent>
  <bookViews>
    <workbookView xWindow="0" yWindow="0" windowWidth="28710" windowHeight="11760" tabRatio="632"/>
  </bookViews>
  <sheets>
    <sheet name="форма 2п исправл" sheetId="3" r:id="rId1"/>
  </sheets>
  <definedNames>
    <definedName name="_xlnm.Print_Titles" localSheetId="0">'форма 2п исправл'!$7:$9</definedName>
  </definedNames>
  <calcPr calcId="152511" iterateDelta="1E-4"/>
</workbook>
</file>

<file path=xl/calcChain.xml><?xml version="1.0" encoding="utf-8"?>
<calcChain xmlns="http://schemas.openxmlformats.org/spreadsheetml/2006/main">
  <c r="G304" i="3" l="1"/>
  <c r="G302" i="3"/>
  <c r="H272" i="3"/>
  <c r="H132" i="3"/>
  <c r="F39" i="3"/>
  <c r="O30" i="3"/>
  <c r="F222" i="3"/>
  <c r="K222" i="3"/>
  <c r="K219" i="3"/>
  <c r="N222" i="3"/>
  <c r="N219" i="3"/>
  <c r="N220" i="3"/>
  <c r="K220" i="3"/>
  <c r="H220" i="3"/>
  <c r="G222" i="3"/>
  <c r="H222" i="3"/>
  <c r="I222" i="3"/>
  <c r="J222" i="3"/>
  <c r="L222" i="3"/>
  <c r="M222" i="3"/>
  <c r="O222" i="3"/>
  <c r="G228" i="3"/>
  <c r="F206" i="3"/>
  <c r="I206" i="3"/>
  <c r="E206" i="3"/>
  <c r="O206" i="3"/>
  <c r="L206" i="3"/>
  <c r="G206" i="3"/>
  <c r="N237" i="3"/>
  <c r="N246" i="3"/>
  <c r="N247" i="3"/>
  <c r="N235" i="3"/>
  <c r="N254" i="3"/>
  <c r="N269" i="3"/>
  <c r="N264" i="3"/>
  <c r="K237" i="3"/>
  <c r="K246" i="3"/>
  <c r="K247" i="3"/>
  <c r="K235" i="3"/>
  <c r="K262" i="3"/>
  <c r="K254" i="3"/>
  <c r="K269" i="3"/>
  <c r="K250" i="3"/>
  <c r="K249" i="3"/>
  <c r="H237" i="3"/>
  <c r="H246" i="3"/>
  <c r="H247" i="3"/>
  <c r="H235" i="3"/>
  <c r="H262" i="3"/>
  <c r="H263" i="3"/>
  <c r="H254" i="3"/>
  <c r="H269" i="3"/>
  <c r="H251" i="3"/>
  <c r="H250" i="3"/>
  <c r="H249" i="3"/>
  <c r="F219" i="3"/>
  <c r="F220" i="3"/>
  <c r="F254" i="3"/>
  <c r="F269" i="3"/>
  <c r="F246" i="3"/>
  <c r="O237" i="3"/>
  <c r="O246" i="3"/>
  <c r="O247" i="3"/>
  <c r="O235" i="3"/>
  <c r="O254" i="3"/>
  <c r="O269" i="3"/>
  <c r="M246" i="3"/>
  <c r="M235" i="3"/>
  <c r="M269" i="3"/>
  <c r="L237" i="3"/>
  <c r="L246" i="3"/>
  <c r="L247" i="3"/>
  <c r="L235" i="3"/>
  <c r="L262" i="3"/>
  <c r="L254" i="3"/>
  <c r="L269" i="3"/>
  <c r="J246" i="3"/>
  <c r="J235" i="3"/>
  <c r="J254" i="3"/>
  <c r="J269" i="3"/>
  <c r="I237" i="3"/>
  <c r="I246" i="3"/>
  <c r="I247" i="3"/>
  <c r="I235" i="3"/>
  <c r="I262" i="3"/>
  <c r="I263" i="3"/>
  <c r="I254" i="3"/>
  <c r="I269" i="3"/>
  <c r="G237" i="3"/>
  <c r="G246" i="3"/>
  <c r="G235" i="3"/>
  <c r="G262" i="3"/>
  <c r="G263" i="3"/>
  <c r="G254" i="3"/>
  <c r="G269" i="3"/>
  <c r="O264" i="3"/>
  <c r="I251" i="3"/>
  <c r="L250" i="3"/>
  <c r="I250" i="3"/>
  <c r="L249" i="3"/>
  <c r="I249" i="3"/>
  <c r="L232" i="3"/>
  <c r="L231" i="3"/>
  <c r="L230" i="3"/>
  <c r="O228" i="3"/>
  <c r="N228" i="3"/>
  <c r="M228" i="3"/>
  <c r="L228" i="3"/>
  <c r="K228" i="3"/>
  <c r="J228" i="3"/>
  <c r="I228" i="3"/>
  <c r="H228" i="3"/>
  <c r="J223" i="3"/>
  <c r="G203" i="3"/>
  <c r="G26" i="3"/>
  <c r="G30" i="3"/>
  <c r="G39" i="3"/>
  <c r="G42" i="3"/>
  <c r="G126" i="3"/>
  <c r="G130" i="3"/>
  <c r="G140" i="3"/>
  <c r="G137" i="3"/>
  <c r="G305" i="3"/>
  <c r="G313" i="3"/>
  <c r="O313" i="3"/>
  <c r="L313" i="3"/>
  <c r="I313" i="3"/>
  <c r="F313" i="3"/>
  <c r="H304" i="3"/>
  <c r="G303" i="3"/>
  <c r="K304" i="3"/>
  <c r="E303" i="3"/>
  <c r="F303" i="3"/>
  <c r="H303" i="3"/>
  <c r="I303" i="3"/>
  <c r="J303" i="3"/>
  <c r="K303" i="3"/>
  <c r="L303" i="3"/>
  <c r="M303" i="3"/>
  <c r="N303" i="3"/>
  <c r="O303" i="3"/>
  <c r="D303" i="3"/>
  <c r="I279" i="3"/>
  <c r="H279" i="3"/>
  <c r="I272" i="3"/>
  <c r="L272" i="3"/>
  <c r="G272" i="3"/>
  <c r="F279" i="3"/>
  <c r="O272" i="3"/>
  <c r="K39" i="3"/>
  <c r="L39" i="3"/>
  <c r="E279" i="3"/>
  <c r="F272" i="3"/>
  <c r="F302" i="3"/>
  <c r="E272" i="3"/>
  <c r="E302" i="3"/>
  <c r="F301" i="3"/>
  <c r="E269" i="3"/>
  <c r="H140" i="3"/>
  <c r="F304" i="3"/>
  <c r="F305" i="3"/>
  <c r="G219" i="3"/>
  <c r="G220" i="3"/>
  <c r="G209" i="3"/>
  <c r="F209" i="3"/>
  <c r="F203" i="3"/>
  <c r="F140" i="3"/>
  <c r="F137" i="3"/>
  <c r="F133" i="3"/>
  <c r="F130" i="3"/>
  <c r="F126" i="3"/>
  <c r="G49" i="3"/>
  <c r="F49" i="3"/>
  <c r="F42" i="3"/>
  <c r="I39" i="3"/>
  <c r="F30" i="3"/>
  <c r="F228" i="3"/>
  <c r="E222" i="3"/>
  <c r="E203" i="3"/>
  <c r="E137" i="3"/>
  <c r="F132" i="3"/>
  <c r="E126" i="3"/>
  <c r="G301" i="3"/>
  <c r="F28" i="3"/>
  <c r="F25" i="3"/>
  <c r="F26" i="3"/>
  <c r="L140" i="3"/>
  <c r="G279" i="3"/>
  <c r="K279" i="3"/>
  <c r="K272" i="3"/>
  <c r="L279" i="3"/>
  <c r="D272" i="3"/>
  <c r="E220" i="3"/>
  <c r="N313" i="3"/>
  <c r="D306" i="3"/>
  <c r="O209" i="3"/>
  <c r="L209" i="3"/>
  <c r="I209" i="3"/>
  <c r="I203" i="3"/>
  <c r="H49" i="3"/>
  <c r="E25" i="3"/>
  <c r="E235" i="3"/>
  <c r="D301" i="3"/>
  <c r="E246" i="3"/>
  <c r="E254" i="3"/>
  <c r="D304" i="3"/>
  <c r="D305" i="3"/>
  <c r="D279" i="3"/>
  <c r="D302" i="3"/>
  <c r="O140" i="3"/>
  <c r="N140" i="3"/>
  <c r="K140" i="3"/>
  <c r="I140" i="3"/>
  <c r="L49" i="3"/>
  <c r="I49" i="3"/>
  <c r="O49" i="3"/>
  <c r="H42" i="3"/>
  <c r="O42" i="3"/>
  <c r="L42" i="3"/>
  <c r="I42" i="3"/>
  <c r="O39" i="3"/>
  <c r="E28" i="3"/>
  <c r="E30" i="3"/>
  <c r="O219" i="3"/>
  <c r="E313" i="3"/>
  <c r="E304" i="3"/>
  <c r="E305" i="3"/>
  <c r="E301" i="3"/>
  <c r="E228" i="3"/>
  <c r="D222" i="3"/>
  <c r="D219" i="3"/>
  <c r="E209" i="3"/>
  <c r="E140" i="3"/>
  <c r="E132" i="3"/>
  <c r="E133" i="3"/>
  <c r="E130" i="3"/>
  <c r="E49" i="3"/>
  <c r="E42" i="3"/>
  <c r="E39" i="3"/>
  <c r="K313" i="3"/>
  <c r="H313" i="3"/>
  <c r="O279" i="3"/>
  <c r="N279" i="3"/>
  <c r="N272" i="3"/>
  <c r="M279" i="3"/>
  <c r="M272" i="3"/>
  <c r="J279" i="3"/>
  <c r="J272" i="3"/>
  <c r="H305" i="3"/>
  <c r="O301" i="3"/>
  <c r="O302" i="3"/>
  <c r="N301" i="3"/>
  <c r="N302" i="3"/>
  <c r="M301" i="3"/>
  <c r="M302" i="3"/>
  <c r="L301" i="3"/>
  <c r="L302" i="3"/>
  <c r="K301" i="3"/>
  <c r="K302" i="3"/>
  <c r="J301" i="3"/>
  <c r="J302" i="3"/>
  <c r="I301" i="3"/>
  <c r="I302" i="3"/>
  <c r="H301" i="3"/>
  <c r="H302" i="3"/>
  <c r="M219" i="3"/>
  <c r="L219" i="3"/>
  <c r="H219" i="3"/>
  <c r="I219" i="3"/>
  <c r="I220" i="3"/>
  <c r="J219" i="3"/>
  <c r="O203" i="3"/>
  <c r="L203" i="3"/>
  <c r="M133" i="3"/>
  <c r="J133" i="3"/>
  <c r="G132" i="3"/>
  <c r="G133" i="3"/>
  <c r="O28" i="3"/>
  <c r="L28" i="3"/>
  <c r="I28" i="3"/>
  <c r="G28" i="3"/>
  <c r="M25" i="3"/>
  <c r="J25" i="3"/>
  <c r="D49" i="3"/>
  <c r="D313" i="3"/>
  <c r="C305" i="3"/>
  <c r="C302" i="3"/>
  <c r="C272" i="3"/>
  <c r="D228" i="3"/>
  <c r="C228" i="3"/>
  <c r="C222" i="3"/>
  <c r="D220" i="3"/>
  <c r="C220" i="3"/>
  <c r="D209" i="3"/>
  <c r="C209" i="3"/>
  <c r="D203" i="3"/>
  <c r="C203" i="3"/>
  <c r="D140" i="3"/>
  <c r="C140" i="3"/>
  <c r="D137" i="3"/>
  <c r="C137" i="3"/>
  <c r="D133" i="3"/>
  <c r="C133" i="3"/>
  <c r="D130" i="3"/>
  <c r="C130" i="3"/>
  <c r="D126" i="3"/>
  <c r="C126" i="3"/>
  <c r="C49" i="3"/>
  <c r="D42" i="3"/>
  <c r="C42" i="3"/>
  <c r="D39" i="3"/>
  <c r="C39" i="3"/>
  <c r="D28" i="3"/>
  <c r="D26" i="3"/>
  <c r="D30" i="3"/>
  <c r="C28" i="3"/>
  <c r="C25" i="3"/>
  <c r="C30" i="3"/>
  <c r="D25" i="3"/>
  <c r="J26" i="3"/>
  <c r="M26" i="3"/>
  <c r="N304" i="3"/>
  <c r="N305" i="3"/>
  <c r="O304" i="3"/>
  <c r="O305" i="3"/>
  <c r="L304" i="3"/>
  <c r="L305" i="3"/>
  <c r="I304" i="3"/>
  <c r="I305" i="3"/>
  <c r="N49" i="3"/>
  <c r="H28" i="3"/>
  <c r="H39" i="3"/>
  <c r="N28" i="3"/>
  <c r="L30" i="3"/>
  <c r="K305" i="3"/>
  <c r="L220" i="3"/>
  <c r="O220" i="3"/>
  <c r="L132" i="3"/>
  <c r="L133" i="3"/>
  <c r="I132" i="3"/>
  <c r="I133" i="3"/>
  <c r="H133" i="3"/>
  <c r="K49" i="3"/>
  <c r="N42" i="3"/>
  <c r="K42" i="3"/>
  <c r="H30" i="3"/>
  <c r="N39" i="3"/>
  <c r="K28" i="3"/>
  <c r="I30" i="3"/>
  <c r="E26" i="3"/>
  <c r="G25" i="3"/>
  <c r="C26" i="3"/>
  <c r="N30" i="3"/>
  <c r="K132" i="3"/>
  <c r="K133" i="3"/>
  <c r="O132" i="3"/>
  <c r="O133" i="3"/>
  <c r="K30" i="3"/>
  <c r="N132" i="3"/>
  <c r="N133" i="3"/>
  <c r="H126" i="3"/>
  <c r="I26" i="3"/>
  <c r="L25" i="3"/>
  <c r="L26" i="3"/>
  <c r="H25" i="3"/>
  <c r="O25" i="3"/>
  <c r="O26" i="3"/>
  <c r="K25" i="3"/>
  <c r="K26" i="3"/>
  <c r="N25" i="3"/>
  <c r="N26" i="3"/>
  <c r="H26" i="3"/>
  <c r="J306" i="3"/>
  <c r="M306" i="3"/>
</calcChain>
</file>

<file path=xl/sharedStrings.xml><?xml version="1.0" encoding="utf-8"?>
<sst xmlns="http://schemas.openxmlformats.org/spreadsheetml/2006/main" count="646" uniqueCount="379">
  <si>
    <t>в том числе по направлениям: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</si>
  <si>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</si>
  <si>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</si>
  <si>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</si>
  <si>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организаций</t>
  </si>
  <si>
    <t>земельный налог</t>
  </si>
  <si>
    <t xml:space="preserve">Неналоговые доходы - всего </t>
  </si>
  <si>
    <t>Продукция сельского хозяйства</t>
  </si>
  <si>
    <t>млн. руб.</t>
  </si>
  <si>
    <t>Индекс производства продукции сельского хозяйства</t>
  </si>
  <si>
    <t>Индекс-дефлятор продукции сельского хозяйства в хозяйствах всех категорий</t>
  </si>
  <si>
    <t>Продукция сельского хозяйства в хозяйствах всех категорий, в том числе:</t>
  </si>
  <si>
    <t>Продукция растениеводства</t>
  </si>
  <si>
    <t xml:space="preserve">млн.руб. </t>
  </si>
  <si>
    <t>Индекс производства продукции растениеводства</t>
  </si>
  <si>
    <t>Индекс-дефлятор продукции растениеводства</t>
  </si>
  <si>
    <t>Продукция животноводства</t>
  </si>
  <si>
    <t>Индекс производства продукции животноводства</t>
  </si>
  <si>
    <t>Индекс-дефлятор продукции животноводства</t>
  </si>
  <si>
    <t>в том числе:</t>
  </si>
  <si>
    <t>шт.</t>
  </si>
  <si>
    <t>тыс. тонн</t>
  </si>
  <si>
    <t>Скот и птица на убой (в живом весе)</t>
  </si>
  <si>
    <t>Молоко</t>
  </si>
  <si>
    <t>Яйца</t>
  </si>
  <si>
    <t>млн.шт.</t>
  </si>
  <si>
    <t>млн. куб. м</t>
  </si>
  <si>
    <t>Уголь</t>
  </si>
  <si>
    <t>млн.тонн</t>
  </si>
  <si>
    <t>Газ природный и попутный</t>
  </si>
  <si>
    <t>млрд.куб.м.</t>
  </si>
  <si>
    <t>Мясо и субпродукты пищевые домашней птицы</t>
  </si>
  <si>
    <t>тыс. дкл</t>
  </si>
  <si>
    <t>Водка</t>
  </si>
  <si>
    <t>млн. кв. м</t>
  </si>
  <si>
    <t xml:space="preserve">Обувь  </t>
  </si>
  <si>
    <t>млн.пар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</si>
  <si>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</si>
  <si>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</si>
  <si>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</si>
  <si>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</si>
  <si>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</si>
  <si>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тыс.тонн</t>
  </si>
  <si>
    <t>Полимеры этилена в первичных формах</t>
  </si>
  <si>
    <t>тонн</t>
  </si>
  <si>
    <t>Кирпич строительный (включая камни) из цемента, бетона или искусственного камня</t>
  </si>
  <si>
    <t>млн. условных кирпичей</t>
  </si>
  <si>
    <t>тыс. шт.</t>
  </si>
  <si>
    <t>Холодильники и морозильники бытовые</t>
  </si>
  <si>
    <t>тыс. руб.</t>
  </si>
  <si>
    <t>Автомобили грузовые (включая шасси)</t>
  </si>
  <si>
    <t>Автомобили легковые</t>
  </si>
  <si>
    <t>Электроэнергия</t>
  </si>
  <si>
    <t>млрд. кВт. ч.</t>
  </si>
  <si>
    <t>в том числе произведенная</t>
  </si>
  <si>
    <t>атомными электростанциями</t>
  </si>
  <si>
    <t>тепловыми электростанциями</t>
  </si>
  <si>
    <t>гидроэлектростанциями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</si>
  <si>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</si>
  <si>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</si>
  <si>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</si>
  <si>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Индекс производства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</si>
  <si>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</si>
  <si>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</si>
  <si>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Ввод в действие жилых домов</t>
  </si>
  <si>
    <t>тыс. кв. м. в общей площади</t>
  </si>
  <si>
    <t>Удельный вес жилых домов, построенных населением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</si>
  <si>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</si>
  <si>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</si>
  <si>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</si>
  <si>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</si>
  <si>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Оборот розничной торговли</t>
  </si>
  <si>
    <t>Индекс-дефлятор оборота розничной торговли</t>
  </si>
  <si>
    <t>Оборот общественного питания</t>
  </si>
  <si>
    <t>Объем платных услуг населению</t>
  </si>
  <si>
    <t>Индекс-дефлятор объема платных услуг</t>
  </si>
  <si>
    <t>единиц</t>
  </si>
  <si>
    <t>тыс. чел.</t>
  </si>
  <si>
    <t xml:space="preserve">млрд. руб. </t>
  </si>
  <si>
    <t>Инвестиции в основной капитал</t>
  </si>
  <si>
    <t>Индекс физического объема инвестиций в основной капитал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</si>
  <si>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</si>
  <si>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</si>
  <si>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Распределение инвестиций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</t>
  </si>
  <si>
    <t>Собственные средства</t>
  </si>
  <si>
    <t>млн. рублей</t>
  </si>
  <si>
    <t>Заемные средства других организаций</t>
  </si>
  <si>
    <t>Бюджетные средства</t>
  </si>
  <si>
    <t>Прочие</t>
  </si>
  <si>
    <t>млн.руб.</t>
  </si>
  <si>
    <t>образование</t>
  </si>
  <si>
    <t>социальная политика</t>
  </si>
  <si>
    <t xml:space="preserve"> </t>
  </si>
  <si>
    <t>Уровень зарегистрированной безработицы (на конец года)</t>
  </si>
  <si>
    <t>Численность безработных (по методологии МОТ)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</si>
  <si>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</si>
  <si>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</si>
  <si>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Фонд начисленной заработной платы всех работников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</si>
  <si>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</si>
  <si>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</si>
  <si>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Численность обучающихся в образовательных учреждений начального профессионального образования</t>
  </si>
  <si>
    <t>Численность студентов образовательных учреждений среднего профессионального образования (на начало учебного года)</t>
  </si>
  <si>
    <t>Численность студентов образовательных учреждений высшего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</si>
  <si>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</si>
  <si>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</si>
  <si>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Выпуск специалистов образовательными учреждениями высшего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</si>
  <si>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</si>
  <si>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</si>
  <si>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</si>
  <si>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</si>
  <si>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</si>
  <si>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</si>
  <si>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</si>
  <si>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</si>
  <si>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</si>
  <si>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</si>
  <si>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</si>
  <si>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</si>
  <si>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</si>
  <si>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</si>
  <si>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 xml:space="preserve">Число выбывших с территории региона </t>
  </si>
  <si>
    <t>Число прибывших на территорию региона</t>
  </si>
  <si>
    <t>% к предыдущему году в действующих ценах</t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</si>
  <si>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</si>
  <si>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</si>
  <si>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на выравнивание бюджетной обеспеченности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</si>
  <si>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</si>
  <si>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</si>
  <si>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</si>
  <si>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</si>
  <si>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</si>
  <si>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</si>
  <si>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здравоохранение</t>
  </si>
  <si>
    <t>физическая культура и спорт</t>
  </si>
  <si>
    <t>мест на 1000 детей в возрасте 1-6 лет</t>
  </si>
  <si>
    <t>Единица измерения</t>
  </si>
  <si>
    <t>отчет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</si>
  <si>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</si>
  <si>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</si>
  <si>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</si>
  <si>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</si>
  <si>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</si>
  <si>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</si>
  <si>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</si>
  <si>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</si>
  <si>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</si>
  <si>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</si>
  <si>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</si>
  <si>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</si>
  <si>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</si>
  <si>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</si>
  <si>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 xml:space="preserve">млн. руб. </t>
  </si>
  <si>
    <t xml:space="preserve">Индекс промышленного производства </t>
  </si>
  <si>
    <t>Добыча полезных ископаемых</t>
  </si>
  <si>
    <t>Обрабатывающие производства</t>
  </si>
  <si>
    <t>Налоговые и неналоговые доходы - всего</t>
  </si>
  <si>
    <t>Индекс потребительских цен на продукцию общественного питания за период с начала года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</si>
  <si>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</si>
  <si>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</si>
  <si>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</si>
  <si>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Объем отгруженных товаров собственного производства, выполненных работ и услуг собственными силами - РАЗДЕЛ B: Добыча полезных ископаемых</t>
  </si>
  <si>
    <t>Индекс-дефлятор отрузки - РАЗДЕЛ B: Добыча полезных ископаемых</t>
  </si>
  <si>
    <t>Индекс производства - РАЗДЕЛ B: Добыча полезных ископаемых</t>
  </si>
  <si>
    <t>Объем отгруженных товаров собственного производства, выполненных работ и услуг собственными силами - 05 Добыча угля</t>
  </si>
  <si>
    <t>Индекс-дефлятор отрузки - 05 Добыча угля</t>
  </si>
  <si>
    <t>Индекс производства - 05 Добыча угля</t>
  </si>
  <si>
    <t>Объем отгруженных товаров собственного производства, выполненных работ и услуг собственными силами - 07 Добыча металлических руд</t>
  </si>
  <si>
    <t>Индекс-дефлятор отрузки - 07 Добыча металлических руд</t>
  </si>
  <si>
    <t>Индекс производства - 07 Добыча металлических руд</t>
  </si>
  <si>
    <t>Объем отгруженных товаров собственного производства, выполненных работ и услуг собственными силами - 08 Добыча прочих полезных ископаемых</t>
  </si>
  <si>
    <t>Индекс-дефлятор отрузки - 08 Добыча прочих полезных ископаемых</t>
  </si>
  <si>
    <t>Индекс производства - 08 Добыча прочих полезных ископаемых</t>
  </si>
  <si>
    <t>Объем отгруженных товаров собственного производства, выполненных работ и услуг собственными силами - РАЗДЕЛ C: Обрабатывающие производства</t>
  </si>
  <si>
    <t>Индекс-дефлятор отрузки - РАЗДЕЛ C: Обрабатывающие производства</t>
  </si>
  <si>
    <t>Индекс производства - РАЗДЕЛ C: Обрабатывающие производства</t>
  </si>
  <si>
    <t>Объем отгруженных товаров собственного производства, выполненных работ и услуг собственными силами - 10 Производство пищевых продуктов</t>
  </si>
  <si>
    <t>Индекс-дефлятор отрузки - 10 Производство пищевых продуктов</t>
  </si>
  <si>
    <t>Индекс производства - 10 Производство пищевых продуктов</t>
  </si>
  <si>
    <t>Объем отгруженных товаров собственного производства, выполненных работ и услуг собственными силами - 11 Производство напитков</t>
  </si>
  <si>
    <t>Индекс-дефлятор отрузки - 11 Производство напитков</t>
  </si>
  <si>
    <t>Индекс производства - 11 Производство напитков</t>
  </si>
  <si>
    <t>Объем отгруженных товаров собственного производства, выполненных работ и услуг собственными силами - 12 Производство табачных изделий</t>
  </si>
  <si>
    <t>Индекс-дефлятор отрузки - 12 Производство табачных изделий</t>
  </si>
  <si>
    <t>Индекс производства - 12 Производство табачных изделий</t>
  </si>
  <si>
    <t>Объем отгруженных товаров собственного производства, выполненных работ и услуг собственными силами - 13 Производство текстильных изделий</t>
  </si>
  <si>
    <t>Индекс-дефлятор отрузки - 13 Производство текстильных изделий</t>
  </si>
  <si>
    <t>Индекс производства - 13 Производство текстильных изделий</t>
  </si>
  <si>
    <t>Объем отгруженных товаров собственного производства, выполненных работ и услуг собственными силами - 14 Производство одежды</t>
  </si>
  <si>
    <t>Индекс-дефлятор отрузки - 14 Производство одежды</t>
  </si>
  <si>
    <t>Индекс производства - 14 Производство одежды</t>
  </si>
  <si>
    <t>Объем отгруженных товаров собственного производства, выполненных работ и услуг собственными силами - 15 Производство кожи и изделий из кожи</t>
  </si>
  <si>
    <t>Индекс-дефлятор отрузки - 15 Производство кожи и изделий из кожи</t>
  </si>
  <si>
    <t>Индекс производства - 15 Производство кожи и изделий из кожи</t>
  </si>
  <si>
    <t>Объем отгруженных товаров собственного производства, выполненных работ и услуг собственными силами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</si>
  <si>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Индекс-дефлятор отрузки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</si>
  <si>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>Индекс производства - 16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</si>
  <si>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Объем отгруженных товаров собственного производства, выполненных работ и услуг собственными силами - 17 Производство бумаги и бумажных изделий </t>
  </si>
  <si>
    <t xml:space="preserve">Индекс-дефлятор отрузки - 17 Производство бумаги и бумажных изделий </t>
  </si>
  <si>
    <t xml:space="preserve">Индекс производства - 17 Производство бумаги и бумажных изделий </t>
  </si>
  <si>
    <t>Объем отгруженных товаров собственного производства, выполненных работ и услуг собственными силами - 18 Деятельность полиграфическая и копирование носителей информации</t>
  </si>
  <si>
    <t>Индекс-дефлятор отрузки - 18 Деятельность полиграфическая и копирование носителей информации</t>
  </si>
  <si>
    <t>Индекс производства - 18 Деятельность полиграфическая и копирование носителей информации</t>
  </si>
  <si>
    <t>Объем отгруженных товаров собственного производства, выполненных работ и услуг собственными силами - 19 Производство кокса и нефтепродуктов</t>
  </si>
  <si>
    <t>Индекс-дефлятор отрузки - 19 Производство кокса и нефтепродуктов</t>
  </si>
  <si>
    <t>Индекс производства - 19 Производство кокса и нефтепродуктов</t>
  </si>
  <si>
    <t>Объем отгруженных товаров собственного производства, выполненных работ и услуг собственными силами - 20 Производство химических веществ и химических продуктов</t>
  </si>
  <si>
    <t>Индекс-дефлятор отрузки - 20 Производство химических веществ и химических продуктов</t>
  </si>
  <si>
    <t>Индекс производства - 20 Производство химических веществ и химических продуктов</t>
  </si>
  <si>
    <t>Объем отгруженных товаров собственного производства, выполненных работ и услуг собственными силами - 21 Производство лекарственных средств и материалов, применяемых в медицинских целях</t>
  </si>
  <si>
    <t>Индекс-дефлятор отрузки - 21 Производство лекарственных средств и материалов, применяемых в медицинских целях</t>
  </si>
  <si>
    <t>Индекс производства - 21 Производство лекарственных средств и материалов, применяемых в медицинских целях</t>
  </si>
  <si>
    <t>Объем отгруженных товаров собственного производства, выполненных работ и услуг собственными силами - 22 Производство резиновых и пластмассовых изделий</t>
  </si>
  <si>
    <t>Индекс-дефлятор отрузки - 22 Производство резиновых и пластмассовых изделий</t>
  </si>
  <si>
    <t>Индекс производства - 22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</si>
  <si>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- 23 Производство прочей неметаллической минеральной продукции</t>
  </si>
  <si>
    <t>Индекс-дефлятор отрузки - 23 Производство прочей неметаллической минеральной продукции</t>
  </si>
  <si>
    <t>Индекс производства - 23 Производство прочей неметаллической минеральной продукции</t>
  </si>
  <si>
    <t xml:space="preserve">Объем отгруженных товаров собственного производства, выполненных работ и услуг собственными силами - 24 Производство металлургическое </t>
  </si>
  <si>
    <t xml:space="preserve">Индекс-дефлятор отрузки - 24 Производство металлургическое </t>
  </si>
  <si>
    <t xml:space="preserve">Индекс производства - 24 Производство металлургическое </t>
  </si>
  <si>
    <t>Объем отгруженных товаров собственного производства, выполненных работ и услуг собственными силами - 25 Производство готовых металлических изделий, кроме машин и оборудования</t>
  </si>
  <si>
    <t>Индекс-дефлятор отрузки - 25 Производство готовых металлических изделий, кроме машин и оборудования</t>
  </si>
  <si>
    <t>Индекс производства - 25 Производство готовых металлических изделий, кроме машин и оборудования</t>
  </si>
  <si>
    <t>Объем отгруженных товаров собственного производства, выполненных работ и услуг собственными силами - 26 Производство компьютеров, электронных и  оптических изделий</t>
  </si>
  <si>
    <t>Индекс-дефлятор отрузки - 26 Производство компьютеров, электронных и  оптических изделий</t>
  </si>
  <si>
    <t>Индекс производства - 26 Производство компьютеров, электронных и  оптических изделий</t>
  </si>
  <si>
    <t>Объем отгруженных товаров собственного производства, выполненных работ и услуг собственными силами - 27 Производство электрического оборудования</t>
  </si>
  <si>
    <t>Индекс-дефлятор отрузки - 27 Производство электрического оборудования</t>
  </si>
  <si>
    <t>Индекс производства - 27 Производство электрического оборудования</t>
  </si>
  <si>
    <t>Объем отгруженных товаров собственного производства, выполненных работ и услуг собственными силами - 28 Производство машин и оборудования, не включенных в другие группировки</t>
  </si>
  <si>
    <t>Индекс-дефлятор отрузки - 28 Производство машин и оборудования, не включенных в другие группировки</t>
  </si>
  <si>
    <t>Индекс производства - 28 Производство машин и оборудования, не включенных в другие группировки</t>
  </si>
  <si>
    <t>Объем отгруженных товаров собственного производства, выполненных работ и услуг собственными силами - 29 Производство автотранспортных средств, прицепов и полуприцепов</t>
  </si>
  <si>
    <t>Индекс-дефлятор отрузки - 29 Производство автотранспортных средств, прицепов и полуприцепов</t>
  </si>
  <si>
    <t>Индекс производства - 29 Производство автотранспортных средств, прицепов и полуприцепов</t>
  </si>
  <si>
    <t>Объем отгруженных товаров собственного производства, выполненных работ и услуг собственными силами - 30 Производство прочих транспортных средств и оборудования</t>
  </si>
  <si>
    <t>Индекс-дефлятор отрузки - 30 Производство прочих транспортных средств и оборудования</t>
  </si>
  <si>
    <t>Индекс производства - 30 Производство прочих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</si>
  <si>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- 31 Производство мебели</t>
  </si>
  <si>
    <t>Индекс-дефлятор отрузки - 31 Производство мебели</t>
  </si>
  <si>
    <t>Индекс производства - 31 Производство мебели</t>
  </si>
  <si>
    <t>Объем отгруженных товаров собственного производства, выполненных работ и услуг собственными силами - 32 Производство прочих готовых изделий</t>
  </si>
  <si>
    <t>Индекс-дефлятор отрузки - 32 Производство прочих готовых изделий</t>
  </si>
  <si>
    <t>Индекс производства - 32 Производство прочих готовых изделий</t>
  </si>
  <si>
    <t>Объем отгруженных товаров собственного производства, выполненных работ и услуг собственными силами - 33 Ремонт и монтаж машин и оборудования</t>
  </si>
  <si>
    <t>Темп роста отгрузки - 33 Ремонт и монтаж машин и оборудования</t>
  </si>
  <si>
    <t>Индекс-дефлятор отрузки - 33 Ремонт и монтаж машин и оборудования</t>
  </si>
  <si>
    <t>Индекс производства - 33 Ремонт и монтаж машин и оборудования</t>
  </si>
  <si>
    <t>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</si>
  <si>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E: Водоснабжение; водоотведение, организация сбора и утилизации отходов, деятельность по ликвидации загрязнений</t>
  </si>
  <si>
    <t>Индекс-дефлятор отгрузки - РАЗДЕЛ E: Водоснабжение; водоотведение, организация сбора и утилизации отходов, деятельность по ликвидации загрязнений</t>
  </si>
  <si>
    <t>Индекс производства - РАЗДЕЛ E: Водоснабжение; водоотведение, организация сбора и утилизации отходов, деятельность по ликвидации загрязнений</t>
  </si>
  <si>
    <t>Водоснабжение; водоотведение, организация сбора и утилизации отходов, деятельность по ликвидации загрязнений</t>
  </si>
  <si>
    <t>базовый</t>
  </si>
  <si>
    <t>целевой</t>
  </si>
  <si>
    <t>1 вариант</t>
  </si>
  <si>
    <t>2 вариант</t>
  </si>
  <si>
    <t>3 вариант</t>
  </si>
  <si>
    <t xml:space="preserve"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 </t>
  </si>
  <si>
    <t>Индекс-дефлятор отгрузки - РАЗДЕЛ D: Обеспечение электрической энергией, газом и паром; кондиционирование воздуха</t>
  </si>
  <si>
    <t>Индекс производства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</si>
  <si>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- 06 Добыча сырой нефти и природного газа</t>
  </si>
  <si>
    <t>Индекс-дефлятор отрузки - 06 Добыча сырой нефти и природного газа</t>
  </si>
  <si>
    <t>Индекс производства - 06 Добыча сырой нефти и природного газа</t>
  </si>
  <si>
    <t>Объем отгруженных товаров собственного производства, выполненных работ и услуг собственными силами - 09 Предоставление услуг в области добычи полезных ископаемых</t>
  </si>
  <si>
    <t>Индекс-дефлятор отрузки - 09 Предоставление услуг в области добычи полезных ископаемых</t>
  </si>
  <si>
    <t>Индекс производства - 09 Предоставление услуг в области добычи полезных ископаемых</t>
  </si>
  <si>
    <t>Картофель</t>
  </si>
  <si>
    <t>в том числе семян подсолнечника</t>
  </si>
  <si>
    <t>Лесоматериалы необработанные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</si>
  <si>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</si>
  <si>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Масло сливочное, пасты масляные, масло топленое, жир молочный, спреды и смеси топленые сливочно-растительные</t>
  </si>
  <si>
    <t>Сахар белый свекловичный в твердом состоянии без вкусоароматических или красящих добавок</t>
  </si>
  <si>
    <t>Масло подсолнечное и его фракции нерафинированные</t>
  </si>
  <si>
    <t>Спирт этиловый неденатурированный с объемной долей спирта не менее 80 %</t>
  </si>
  <si>
    <t>Коньяки, коньячные напитки и спирты коньячные</t>
  </si>
  <si>
    <t>Культуры зерновые</t>
  </si>
  <si>
    <t>Семена и плоды масличных культур</t>
  </si>
  <si>
    <t>Продукция из рыбы свежая, охлажденная или мороженая</t>
  </si>
  <si>
    <t>Наливки и настойки сладкие крепостью менее 30 %</t>
  </si>
  <si>
    <t>Вина из свежего винограда, кроме вин игристых и газированных</t>
  </si>
  <si>
    <t>Напитки сброженные прочие</t>
  </si>
  <si>
    <t>Ткани хлопчатобумажные</t>
  </si>
  <si>
    <t>Предметы одежды трикотажные и вязаные</t>
  </si>
  <si>
    <t>Тракторы для сельского хозяйства прочие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</si>
  <si>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</si>
  <si>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Изделия ювелирные и подобные</t>
  </si>
  <si>
    <t>Пиво, кроме отходов пивоварения (включая напитки, изготовляемые на основе пива (пиваные напитки)</t>
  </si>
  <si>
    <t>Нефть сырая, включая газовый конденсат</t>
  </si>
  <si>
    <t xml:space="preserve">Удобрения минеральные или химические 
 (в пересчете на 100% питательных веществ)
</t>
  </si>
  <si>
    <t xml:space="preserve">Портландцемент, цемент глиноземистый, цемент шлаковый 
 и аналогичные гидравлические цементы
</t>
  </si>
  <si>
    <t>Прокат готовый</t>
  </si>
  <si>
    <t xml:space="preserve">Лесоматериалы, продольно распиленные или расколотые, 
 разделенные на слои или лущеные, толщиной более 6 мм;  
 деревянные железнодорожные или трамвайные шпалы, 
 непропитанные
</t>
  </si>
  <si>
    <t>Сахарная свекла</t>
  </si>
  <si>
    <t>Овощи</t>
  </si>
  <si>
    <t>2.1. Промышленное производство (BCDE)</t>
  </si>
  <si>
    <t>2.2. Сельское хозяйство</t>
  </si>
  <si>
    <t>4. Малое и среднее предпринимательство, включая микропредприятия</t>
  </si>
  <si>
    <t>5. Инвестиции</t>
  </si>
  <si>
    <t>6. Бюджет муниципального образования Республики Хакасия ( без учета территориальных внебюджетных фондов)</t>
  </si>
  <si>
    <t>Доходы местного бюджета  - всего</t>
  </si>
  <si>
    <t>Налоговые доходы местного бюджета  - всего</t>
  </si>
  <si>
    <t xml:space="preserve">субсидии </t>
  </si>
  <si>
    <t xml:space="preserve">субвенции </t>
  </si>
  <si>
    <t xml:space="preserve">дотации </t>
  </si>
  <si>
    <t>Расходы местного бюджета  - всего</t>
  </si>
  <si>
    <t>обслуживание  муниципального долга</t>
  </si>
  <si>
    <t xml:space="preserve">      Дефицит(-),профицит(+) местного бюджета </t>
  </si>
  <si>
    <t>Муниципальный долг</t>
  </si>
  <si>
    <t xml:space="preserve">2.3. Производство важнейших видов продукции в натуральном выражении </t>
  </si>
  <si>
    <t>7. Труд и занятость</t>
  </si>
  <si>
    <t>8. Развитие социальной сферы</t>
  </si>
  <si>
    <t>Привлеченные средства, из них:</t>
  </si>
  <si>
    <t xml:space="preserve">          кредиты банков</t>
  </si>
  <si>
    <t xml:space="preserve">          в том числе кредиты иностранных банков</t>
  </si>
  <si>
    <t xml:space="preserve">    федеральный бюджет</t>
  </si>
  <si>
    <t xml:space="preserve">    бюджеты субъектов Российской Федерации</t>
  </si>
  <si>
    <t xml:space="preserve">    из местных бюджетов</t>
  </si>
  <si>
    <t>2.4. Строительство</t>
  </si>
  <si>
    <t>Темп роста фонда заработной платы работников организаций</t>
  </si>
  <si>
    <t>рублей</t>
  </si>
  <si>
    <t>Индекс-дефлятор</t>
  </si>
  <si>
    <t>госпошлина</t>
  </si>
  <si>
    <t>средства массовой информации</t>
  </si>
  <si>
    <t>национальная оборона</t>
  </si>
  <si>
    <t>Оценка</t>
  </si>
  <si>
    <t>Численность населения (на 1 января года)</t>
  </si>
  <si>
    <t>Численность населения трудоспособного возраста  (на 1 января года)</t>
  </si>
  <si>
    <t>Численность населения старше трудоспособного возраста  (на 1 января года)</t>
  </si>
  <si>
    <t>Индекс физического объема оборота розничной торговли</t>
  </si>
  <si>
    <t>Индекс физического объема платных услуг населению</t>
  </si>
  <si>
    <t>Численность рабочей силы</t>
  </si>
  <si>
    <t>Численность трудовых ресурсов - всего, в том числе</t>
  </si>
  <si>
    <t>Численность занятых в экономике – всего, в том числе по разделам ОКВЭД:</t>
  </si>
  <si>
    <t>Численность населения в трудоспособном возрасте, не занятого в экономике – всего, в том числе:</t>
  </si>
  <si>
    <t xml:space="preserve">        трудоспособное население в трудоспособном возрасте</t>
  </si>
  <si>
    <t xml:space="preserve">        иностранные трудовые мигранты</t>
  </si>
  <si>
    <t xml:space="preserve">        численность лиц старше трудоспособного возраста и подростков, занятых в экономике, в том числе:</t>
  </si>
  <si>
    <t xml:space="preserve">       сельское, лесное хозяйство, охота, рыболовство и рыбоводство</t>
  </si>
  <si>
    <t xml:space="preserve">       добыча полезных ископаемых</t>
  </si>
  <si>
    <t xml:space="preserve">      обрабатывающие производства</t>
  </si>
  <si>
    <t xml:space="preserve">      обеспечение электрической энергией, газом и паром; кондиционирование воздуха</t>
  </si>
  <si>
    <t xml:space="preserve">       водоснабжение; водоотведение, организация сбора и утилизации отходов, деятельность по ликвидации загрязнений</t>
  </si>
  <si>
    <t xml:space="preserve">      строительство</t>
  </si>
  <si>
    <t xml:space="preserve">      торговля оптовая и розничная; ремонт автотранспортных средств и мотоциклов</t>
  </si>
  <si>
    <t xml:space="preserve">      транспортировка и хранение</t>
  </si>
  <si>
    <t xml:space="preserve">      деятельность гостиниц и предприятий общественного питания</t>
  </si>
  <si>
    <t xml:space="preserve">      деятельность в области информации и связи</t>
  </si>
  <si>
    <t xml:space="preserve">      деятельность финансовая и страховая</t>
  </si>
  <si>
    <t xml:space="preserve">      деятельность по операциям с недвижимым имуществом</t>
  </si>
  <si>
    <t xml:space="preserve">       деятельность профессиональная, научная и техническая</t>
  </si>
  <si>
    <t xml:space="preserve">      деятельность административная и сопутствующие дополнительные услуги</t>
  </si>
  <si>
    <t xml:space="preserve">      государственное управление и обеспечение военной безопасности; социальное обеспечение</t>
  </si>
  <si>
    <t xml:space="preserve">     образование</t>
  </si>
  <si>
    <t xml:space="preserve">      деятельность в области здравоохранения и социальных услуг</t>
  </si>
  <si>
    <t xml:space="preserve">       деятельность в области культуры, спорта, организации досуга и развлечений</t>
  </si>
  <si>
    <t xml:space="preserve">       прочие виды экономической деятельности</t>
  </si>
  <si>
    <t xml:space="preserve">       численность учащихся трудоспособного возраста, обучающихся с отрывом от производства</t>
  </si>
  <si>
    <t xml:space="preserve">      численность безработных, зарегистрированных в органах службы занятости</t>
  </si>
  <si>
    <t xml:space="preserve">       численность прочих категорий населения в трудоспособном возрасте, не занятого в экономике</t>
  </si>
  <si>
    <t>Номинальная начисленная среднемесяная заработная плата работников организаций в целом по муниципальному образованию</t>
  </si>
  <si>
    <t>Темп роста номинальной начисленной среднемесяной заработной платы в целом  по муниципальному образованию</t>
  </si>
  <si>
    <t>Реальная заработная плата работников организаций</t>
  </si>
  <si>
    <t>% г/г</t>
  </si>
  <si>
    <t>Уровень безработицы (по методологии МОТ)</t>
  </si>
  <si>
    <t>% к рабочей силе</t>
  </si>
  <si>
    <t>человек</t>
  </si>
  <si>
    <t xml:space="preserve">           пенсионеры старше трудоспособного возраста</t>
  </si>
  <si>
    <t xml:space="preserve">           подростки моложе трудоспособного возраста</t>
  </si>
  <si>
    <t>консерва тивный</t>
  </si>
  <si>
    <t>Прогноз</t>
  </si>
  <si>
    <t>Показатель</t>
  </si>
  <si>
    <t>Отчет*</t>
  </si>
  <si>
    <t>Численность населения (в среднегодовом исчислении)</t>
  </si>
  <si>
    <t xml:space="preserve">Объем отгруженных товаров собственного производства, выполненных работ и услуг собственными силами </t>
  </si>
  <si>
    <t>ПРОЕКТ</t>
  </si>
  <si>
    <t>ПРОГНОЗ</t>
  </si>
  <si>
    <t xml:space="preserve">социально-экономического развития  муниципального образования Усть-Абаканский район Республики Хакасия </t>
  </si>
  <si>
    <t xml:space="preserve">на 2024 год и плановый период 2025 - 2026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</si>
</sst>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0.000"/>
    <numFmt numFmtId="167" formatCode="#,##0.000"/>
  </numFmts>
  <fonts count="15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rgb="FFFF0000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57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1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/>
    <xf numFmtId="0" fontId="3" fillId="0" borderId="1" xfId="0" applyFont="1" applyFill="1" applyBorder="1" applyAlignment="1" applyProtection="1">
      <alignment horizontal="left"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 applyProtection="1">
      <alignment vertical="center" wrapText="1" shrinkToFi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vertical="center" wrapText="1" shrinkToFit="1"/>
    </xf>
    <xf numFmtId="0" fontId="4" fillId="0" borderId="1" xfId="0" applyFont="1" applyFill="1" applyBorder="1" applyAlignment="1" applyProtection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left" vertical="center" wrapText="1" shrinkToFit="1"/>
    </xf>
    <xf numFmtId="0" fontId="0" fillId="0" borderId="1" xfId="0" applyFill="1" applyBorder="1"/>
    <xf numFmtId="2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>
      <alignment horizontal="center" vertical="center" wrapText="1" shrinkToFit="1"/>
    </xf>
    <xf numFmtId="2" fontId="4" fillId="0" borderId="2" xfId="0" applyNumberFormat="1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4" fillId="0" borderId="2" xfId="0" applyFont="1" applyFill="1" applyBorder="1" applyAlignment="1" applyProtection="1">
      <alignment horizontal="left" vertical="center" wrapText="1" shrinkToFit="1"/>
    </xf>
    <xf numFmtId="0" fontId="2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 wrapText="1" shrinkToFit="1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/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2" borderId="1" xfId="0" applyFont="1" applyFill="1" applyBorder="1"/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166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3" borderId="1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1" xfId="0" applyNumberFormat="1" applyFont="1" applyFill="1" applyBorder="1" applyAlignment="1" applyProtection="1">
      <alignment horizontal="center" vertical="center" wrapText="1"/>
    </xf>
    <xf numFmtId="2" fontId="3" fillId="3" borderId="1" xfId="0" applyNumberFormat="1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2" fontId="4" fillId="3" borderId="2" xfId="0" applyNumberFormat="1" applyFont="1" applyFill="1" applyBorder="1" applyAlignment="1" applyProtection="1">
      <alignment horizontal="center" vertical="center" wrapText="1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7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166" fontId="4" fillId="3" borderId="1" xfId="0" applyNumberFormat="1" applyFont="1" applyFill="1" applyBorder="1"/>
    <xf numFmtId="164" fontId="0" fillId="0" borderId="0" xfId="0" applyNumberFormat="1" applyFill="1"/>
    <xf numFmtId="0" fontId="0" fillId="2" borderId="0" xfId="0" applyFill="1"/>
    <xf numFmtId="0" fontId="4" fillId="2" borderId="0" xfId="0" applyFont="1" applyFill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 shrinkToFit="1"/>
    </xf>
    <xf numFmtId="0" fontId="4" fillId="2" borderId="1" xfId="0" applyFont="1" applyFill="1" applyBorder="1" applyAlignment="1">
      <alignment horizontal="left" vertical="center" wrapText="1" shrinkToFit="1"/>
    </xf>
    <xf numFmtId="167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ill="1"/>
    <xf numFmtId="0" fontId="0" fillId="0" borderId="0" xfId="0" applyFill="1" applyAlignment="1">
      <alignment wrapText="1"/>
    </xf>
    <xf numFmtId="0" fontId="9" fillId="0" borderId="0" xfId="0" applyFont="1" applyFill="1"/>
    <xf numFmtId="167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/>
    <xf numFmtId="165" fontId="2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/>
    <xf numFmtId="165" fontId="4" fillId="0" borderId="2" xfId="0" applyNumberFormat="1" applyFont="1" applyFill="1" applyBorder="1" applyAlignment="1" applyProtection="1">
      <alignment horizontal="center" vertical="center" wrapText="1"/>
    </xf>
    <xf numFmtId="167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/>
    <xf numFmtId="0" fontId="14" fillId="0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2"/>
  <sheetViews>
    <sheetView tabSelected="1" zoomScale="90" zoomScaleNormal="90" workbookViewId="0">
      <selection activeCell="R10" sqref="R10"/>
    </sheetView>
  </sheetViews>
  <sheetFormatPr defaultColWidth="8.85546875" defaultRowHeight="12.75" x14ac:dyDescent="0.2"/>
  <cols>
    <col min="1" max="1" width="62.140625" style="9" customWidth="1"/>
    <col min="2" max="2" width="16.7109375" style="9" customWidth="1"/>
    <col min="3" max="4" width="0.28515625" style="9" customWidth="1"/>
    <col min="5" max="5" width="14.28515625" style="9" customWidth="1"/>
    <col min="6" max="6" width="15" style="9" customWidth="1"/>
    <col min="7" max="7" width="13.42578125" style="9" customWidth="1"/>
    <col min="8" max="8" width="15" style="9" customWidth="1"/>
    <col min="9" max="9" width="13.7109375" style="9" customWidth="1"/>
    <col min="10" max="10" width="13.7109375" style="9" hidden="1" customWidth="1"/>
    <col min="11" max="12" width="13.7109375" style="9" customWidth="1"/>
    <col min="13" max="13" width="13.7109375" style="9" hidden="1" customWidth="1"/>
    <col min="14" max="15" width="13.7109375" style="9" customWidth="1"/>
    <col min="16" max="17" width="8.85546875" style="9"/>
    <col min="18" max="18" width="13.5703125" style="9" customWidth="1"/>
    <col min="19" max="19" width="12" style="9" bestFit="1" customWidth="1"/>
    <col min="20" max="25" width="8.85546875" style="9"/>
    <col min="26" max="26" width="8.85546875" style="9" customWidth="1"/>
    <col min="27" max="27" width="8.85546875" style="9"/>
    <col min="28" max="29" width="8.85546875" style="9" customWidth="1"/>
    <col min="30" max="16384" width="8.85546875" style="9"/>
  </cols>
  <sheetData>
    <row r="2" spans="1:19" ht="30" customHeight="1" x14ac:dyDescent="0.3">
      <c r="E2" s="152" t="s">
        <v>376</v>
      </c>
      <c r="F2" s="152"/>
      <c r="G2" s="152"/>
    </row>
    <row r="3" spans="1:19" ht="33" customHeight="1" x14ac:dyDescent="0.2">
      <c r="A3" s="153" t="s">
        <v>377</v>
      </c>
      <c r="B3" s="154"/>
      <c r="C3" s="154"/>
      <c r="D3" s="154"/>
      <c r="E3" s="154"/>
      <c r="F3" s="154"/>
      <c r="G3" s="154"/>
      <c r="H3" s="155"/>
      <c r="I3" s="155"/>
      <c r="J3" s="155"/>
      <c r="K3" s="155"/>
      <c r="L3" s="155"/>
      <c r="M3" s="155"/>
      <c r="N3" s="155"/>
      <c r="O3" s="155"/>
    </row>
    <row r="4" spans="1:19" ht="25.5" customHeight="1" x14ac:dyDescent="0.25">
      <c r="A4" s="153" t="s">
        <v>378</v>
      </c>
      <c r="B4" s="154"/>
      <c r="C4" s="154"/>
      <c r="D4" s="154"/>
      <c r="E4" s="154"/>
      <c r="F4" s="154"/>
      <c r="G4" s="154"/>
      <c r="H4" s="155"/>
      <c r="I4" s="155"/>
      <c r="J4" s="155"/>
      <c r="K4" s="155"/>
      <c r="L4" s="155"/>
      <c r="M4" s="155"/>
      <c r="N4" s="155"/>
      <c r="O4" s="155"/>
      <c r="P4" s="151" t="s">
        <v>375</v>
      </c>
      <c r="R4" s="151"/>
    </row>
    <row r="5" spans="1:19" ht="21" customHeight="1" x14ac:dyDescent="0.2">
      <c r="A5" s="156"/>
      <c r="B5" s="154"/>
      <c r="C5" s="154"/>
      <c r="D5" s="154"/>
      <c r="E5" s="154"/>
      <c r="F5" s="154"/>
      <c r="G5" s="154"/>
      <c r="H5" s="155"/>
      <c r="I5" s="155"/>
      <c r="J5" s="155"/>
      <c r="K5" s="155"/>
      <c r="L5" s="155"/>
      <c r="M5" s="155"/>
      <c r="N5" s="155"/>
      <c r="O5" s="155"/>
    </row>
    <row r="6" spans="1:19" x14ac:dyDescent="0.2">
      <c r="A6" s="9" t="s">
        <v>92</v>
      </c>
    </row>
    <row r="7" spans="1:19" ht="112.5" x14ac:dyDescent="0.2">
      <c r="A7" s="141" t="s">
        <v>371</v>
      </c>
      <c r="B7" s="141" t="s">
        <v>135</v>
      </c>
      <c r="C7" s="1" t="s">
        <v>136</v>
      </c>
      <c r="D7" s="35" t="s">
        <v>372</v>
      </c>
      <c r="E7" s="33" t="s">
        <v>372</v>
      </c>
      <c r="F7" s="111" t="s">
        <v>372</v>
      </c>
      <c r="G7" s="2" t="s">
        <v>325</v>
      </c>
      <c r="H7" s="145" t="s">
        <v>370</v>
      </c>
      <c r="I7" s="149"/>
      <c r="J7" s="149"/>
      <c r="K7" s="149"/>
      <c r="L7" s="149"/>
      <c r="M7" s="149"/>
      <c r="N7" s="149"/>
      <c r="O7" s="150"/>
    </row>
    <row r="8" spans="1:19" ht="22.5" customHeight="1" x14ac:dyDescent="0.2">
      <c r="A8" s="142"/>
      <c r="B8" s="142"/>
      <c r="C8" s="141">
        <v>2019</v>
      </c>
      <c r="D8" s="141">
        <v>2020</v>
      </c>
      <c r="E8" s="141">
        <v>2021</v>
      </c>
      <c r="F8" s="141">
        <v>2022</v>
      </c>
      <c r="G8" s="141">
        <v>2023</v>
      </c>
      <c r="H8" s="145">
        <v>2024</v>
      </c>
      <c r="I8" s="146"/>
      <c r="J8" s="147"/>
      <c r="K8" s="145">
        <v>2025</v>
      </c>
      <c r="L8" s="146"/>
      <c r="M8" s="147"/>
      <c r="N8" s="148">
        <v>2026</v>
      </c>
      <c r="O8" s="147"/>
    </row>
    <row r="9" spans="1:19" ht="37.5" x14ac:dyDescent="0.2">
      <c r="A9" s="142"/>
      <c r="B9" s="142"/>
      <c r="C9" s="142"/>
      <c r="D9" s="142"/>
      <c r="E9" s="142"/>
      <c r="F9" s="142"/>
      <c r="G9" s="142"/>
      <c r="H9" s="1" t="s">
        <v>369</v>
      </c>
      <c r="I9" s="1" t="s">
        <v>253</v>
      </c>
      <c r="J9" s="1" t="s">
        <v>254</v>
      </c>
      <c r="K9" s="1" t="s">
        <v>369</v>
      </c>
      <c r="L9" s="1" t="s">
        <v>253</v>
      </c>
      <c r="M9" s="1" t="s">
        <v>254</v>
      </c>
      <c r="N9" s="1" t="s">
        <v>369</v>
      </c>
      <c r="O9" s="1" t="s">
        <v>253</v>
      </c>
    </row>
    <row r="10" spans="1:19" ht="18.75" x14ac:dyDescent="0.2">
      <c r="A10" s="144"/>
      <c r="B10" s="144"/>
      <c r="C10" s="144"/>
      <c r="D10" s="143"/>
      <c r="E10" s="144"/>
      <c r="F10" s="144"/>
      <c r="G10" s="144"/>
      <c r="H10" s="1" t="s">
        <v>255</v>
      </c>
      <c r="I10" s="1" t="s">
        <v>256</v>
      </c>
      <c r="J10" s="1" t="s">
        <v>257</v>
      </c>
      <c r="K10" s="1" t="s">
        <v>255</v>
      </c>
      <c r="L10" s="1" t="s">
        <v>256</v>
      </c>
      <c r="M10" s="1" t="s">
        <v>257</v>
      </c>
      <c r="N10" s="1" t="s">
        <v>255</v>
      </c>
      <c r="O10" s="1" t="s">
        <v>256</v>
      </c>
    </row>
    <row r="11" spans="1:19" ht="18.75" x14ac:dyDescent="0.2">
      <c r="A11" s="3" t="s">
        <v>137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9" ht="37.5" customHeight="1" x14ac:dyDescent="0.2">
      <c r="A12" s="16" t="s">
        <v>373</v>
      </c>
      <c r="B12" s="11" t="s">
        <v>138</v>
      </c>
      <c r="C12" s="39">
        <v>41.527999999999999</v>
      </c>
      <c r="D12" s="64">
        <v>41.351999999999997</v>
      </c>
      <c r="E12" s="116">
        <v>41.122999999999998</v>
      </c>
      <c r="F12" s="116">
        <v>47.402000000000001</v>
      </c>
      <c r="G12" s="116">
        <v>47.122</v>
      </c>
      <c r="H12" s="30">
        <v>46.76</v>
      </c>
      <c r="I12" s="30">
        <v>47.014000000000003</v>
      </c>
      <c r="J12" s="5"/>
      <c r="K12" s="30">
        <v>46.557000000000002</v>
      </c>
      <c r="L12" s="30">
        <v>46.774999999999999</v>
      </c>
      <c r="M12" s="5"/>
      <c r="N12" s="28">
        <v>46.36</v>
      </c>
      <c r="O12" s="28">
        <v>46.597999999999999</v>
      </c>
    </row>
    <row r="13" spans="1:19" ht="18.75" x14ac:dyDescent="0.25">
      <c r="A13" s="16" t="s">
        <v>326</v>
      </c>
      <c r="B13" s="11" t="s">
        <v>138</v>
      </c>
      <c r="C13" s="39">
        <v>41.680999999999997</v>
      </c>
      <c r="D13" s="64">
        <v>41.375</v>
      </c>
      <c r="E13" s="116">
        <v>41.329000000000001</v>
      </c>
      <c r="F13" s="116">
        <v>47.750999999999998</v>
      </c>
      <c r="G13" s="116">
        <v>47.052</v>
      </c>
      <c r="H13" s="30">
        <v>46.892000000000003</v>
      </c>
      <c r="I13" s="30">
        <v>47.191000000000003</v>
      </c>
      <c r="J13" s="5"/>
      <c r="K13" s="30">
        <v>46.597000000000001</v>
      </c>
      <c r="L13" s="30">
        <v>46.835999999999999</v>
      </c>
      <c r="M13" s="5"/>
      <c r="N13" s="28">
        <v>46.456000000000003</v>
      </c>
      <c r="O13" s="28">
        <v>46.713000000000001</v>
      </c>
      <c r="R13" s="115"/>
      <c r="S13" s="115"/>
    </row>
    <row r="14" spans="1:19" ht="37.5" x14ac:dyDescent="0.2">
      <c r="A14" s="16" t="s">
        <v>327</v>
      </c>
      <c r="B14" s="11"/>
      <c r="C14" s="21">
        <v>22.067</v>
      </c>
      <c r="D14" s="65">
        <v>22.117000000000001</v>
      </c>
      <c r="E14" s="21">
        <v>22.145</v>
      </c>
      <c r="F14" s="21">
        <v>22.398</v>
      </c>
      <c r="G14" s="21">
        <v>22.398</v>
      </c>
      <c r="H14" s="5">
        <v>22.39</v>
      </c>
      <c r="I14" s="5">
        <v>22.4</v>
      </c>
      <c r="J14" s="5"/>
      <c r="K14" s="5">
        <v>22.4</v>
      </c>
      <c r="L14" s="5">
        <v>22.41</v>
      </c>
      <c r="M14" s="5"/>
      <c r="N14" s="21">
        <v>22.4</v>
      </c>
      <c r="O14" s="21">
        <v>22.41</v>
      </c>
    </row>
    <row r="15" spans="1:19" ht="42.75" customHeight="1" x14ac:dyDescent="0.2">
      <c r="A15" s="16" t="s">
        <v>328</v>
      </c>
      <c r="B15" s="11" t="s">
        <v>138</v>
      </c>
      <c r="C15" s="21">
        <v>10.151</v>
      </c>
      <c r="D15" s="65">
        <v>10.079000000000001</v>
      </c>
      <c r="E15" s="21">
        <v>10.17</v>
      </c>
      <c r="F15" s="21">
        <v>9.6440000000000001</v>
      </c>
      <c r="G15" s="21">
        <v>9.64</v>
      </c>
      <c r="H15" s="21">
        <v>9.64</v>
      </c>
      <c r="I15" s="21">
        <v>9.64</v>
      </c>
      <c r="J15" s="21"/>
      <c r="K15" s="21">
        <v>9.65</v>
      </c>
      <c r="L15" s="21">
        <v>9.65</v>
      </c>
      <c r="M15" s="21"/>
      <c r="N15" s="21">
        <v>9.64</v>
      </c>
      <c r="O15" s="21">
        <v>9.64</v>
      </c>
    </row>
    <row r="16" spans="1:19" ht="20.25" customHeight="1" x14ac:dyDescent="0.2">
      <c r="A16" s="16" t="s">
        <v>140</v>
      </c>
      <c r="B16" s="11" t="s">
        <v>141</v>
      </c>
      <c r="C16" s="41">
        <v>71.099999999999994</v>
      </c>
      <c r="D16" s="112">
        <v>68</v>
      </c>
      <c r="E16" s="117">
        <v>67</v>
      </c>
      <c r="F16" s="117">
        <v>69</v>
      </c>
      <c r="G16" s="117">
        <v>69</v>
      </c>
      <c r="H16" s="28">
        <v>69</v>
      </c>
      <c r="I16" s="28">
        <v>69.5</v>
      </c>
      <c r="J16" s="28"/>
      <c r="K16" s="28">
        <v>69.5</v>
      </c>
      <c r="L16" s="28">
        <v>70</v>
      </c>
      <c r="M16" s="28"/>
      <c r="N16" s="28">
        <v>69.599999999999994</v>
      </c>
      <c r="O16" s="28">
        <v>70.2</v>
      </c>
    </row>
    <row r="17" spans="1:22" ht="93.75" x14ac:dyDescent="0.2">
      <c r="A17" s="16" t="s">
        <v>142</v>
      </c>
      <c r="B17" s="11" t="s">
        <v>143</v>
      </c>
      <c r="C17" s="21">
        <v>10.199999999999999</v>
      </c>
      <c r="D17" s="65">
        <v>9.1999999999999993</v>
      </c>
      <c r="E17" s="21">
        <v>10.4</v>
      </c>
      <c r="F17" s="28">
        <v>8.4</v>
      </c>
      <c r="G17" s="21">
        <v>10.199999999999999</v>
      </c>
      <c r="H17" s="21">
        <v>8.9</v>
      </c>
      <c r="I17" s="21">
        <v>8.9</v>
      </c>
      <c r="J17" s="21"/>
      <c r="K17" s="21">
        <v>8.6999999999999993</v>
      </c>
      <c r="L17" s="21">
        <v>9</v>
      </c>
      <c r="M17" s="21"/>
      <c r="N17" s="21">
        <v>8.9</v>
      </c>
      <c r="O17" s="21">
        <v>9.1999999999999993</v>
      </c>
    </row>
    <row r="18" spans="1:22" ht="75" x14ac:dyDescent="0.2">
      <c r="A18" s="16" t="s">
        <v>144</v>
      </c>
      <c r="B18" s="11" t="s">
        <v>145</v>
      </c>
      <c r="C18" s="21">
        <v>12.6</v>
      </c>
      <c r="D18" s="65">
        <v>13.7</v>
      </c>
      <c r="E18" s="21">
        <v>15.2</v>
      </c>
      <c r="F18" s="28">
        <v>10.8</v>
      </c>
      <c r="G18" s="28">
        <v>10.8</v>
      </c>
      <c r="H18" s="28">
        <v>11.1</v>
      </c>
      <c r="I18" s="28">
        <v>11.1</v>
      </c>
      <c r="J18" s="28"/>
      <c r="K18" s="28">
        <v>11.1</v>
      </c>
      <c r="L18" s="28">
        <v>11</v>
      </c>
      <c r="M18" s="28"/>
      <c r="N18" s="28">
        <v>11.1</v>
      </c>
      <c r="O18" s="28">
        <v>10.9</v>
      </c>
    </row>
    <row r="19" spans="1:22" ht="56.25" x14ac:dyDescent="0.2">
      <c r="A19" s="16" t="s">
        <v>146</v>
      </c>
      <c r="B19" s="11" t="s">
        <v>147</v>
      </c>
      <c r="C19" s="21">
        <v>-2.4</v>
      </c>
      <c r="D19" s="65">
        <v>-4.5</v>
      </c>
      <c r="E19" s="28">
        <v>-4.8</v>
      </c>
      <c r="F19" s="28">
        <v>-2.4</v>
      </c>
      <c r="G19" s="28">
        <v>-0.7</v>
      </c>
      <c r="H19" s="28">
        <v>-2.2000000000000002</v>
      </c>
      <c r="I19" s="28">
        <v>-2.1</v>
      </c>
      <c r="J19" s="28"/>
      <c r="K19" s="28">
        <v>-2.4</v>
      </c>
      <c r="L19" s="28">
        <v>-2</v>
      </c>
      <c r="M19" s="28"/>
      <c r="N19" s="28">
        <v>-2.2000000000000002</v>
      </c>
      <c r="O19" s="28">
        <v>-1.7</v>
      </c>
    </row>
    <row r="20" spans="1:22" ht="18.75" x14ac:dyDescent="0.2">
      <c r="A20" s="16" t="s">
        <v>121</v>
      </c>
      <c r="B20" s="11" t="s">
        <v>77</v>
      </c>
      <c r="C20" s="21">
        <v>1.72</v>
      </c>
      <c r="D20" s="65">
        <v>1.9490000000000001</v>
      </c>
      <c r="E20" s="5">
        <v>1.72</v>
      </c>
      <c r="F20" s="116">
        <v>1.2789999999999999</v>
      </c>
      <c r="G20" s="5">
        <v>1.97</v>
      </c>
      <c r="H20" s="30">
        <v>1.69</v>
      </c>
      <c r="I20" s="30">
        <v>1.68</v>
      </c>
      <c r="J20" s="5"/>
      <c r="K20" s="5">
        <v>1.82</v>
      </c>
      <c r="L20" s="5">
        <v>1.82</v>
      </c>
      <c r="M20" s="5"/>
      <c r="N20" s="28">
        <v>1.7</v>
      </c>
      <c r="O20" s="28">
        <v>1.7</v>
      </c>
    </row>
    <row r="21" spans="1:22" ht="18.75" x14ac:dyDescent="0.2">
      <c r="A21" s="16" t="s">
        <v>120</v>
      </c>
      <c r="B21" s="11" t="s">
        <v>77</v>
      </c>
      <c r="C21" s="21">
        <v>1.9259999999999999</v>
      </c>
      <c r="D21" s="65">
        <v>1.8069999999999999</v>
      </c>
      <c r="E21" s="5">
        <v>1.9330000000000001</v>
      </c>
      <c r="F21" s="116">
        <v>1.867</v>
      </c>
      <c r="G21" s="5">
        <v>1.8</v>
      </c>
      <c r="H21" s="5">
        <v>1.88</v>
      </c>
      <c r="I21" s="5">
        <v>1.9350000000000001</v>
      </c>
      <c r="J21" s="5"/>
      <c r="K21" s="5">
        <v>1.85</v>
      </c>
      <c r="L21" s="5">
        <v>1.85</v>
      </c>
      <c r="M21" s="5"/>
      <c r="N21" s="21">
        <v>1.85</v>
      </c>
      <c r="O21" s="21">
        <v>1.85</v>
      </c>
    </row>
    <row r="22" spans="1:22" ht="56.25" x14ac:dyDescent="0.2">
      <c r="A22" s="16" t="s">
        <v>148</v>
      </c>
      <c r="B22" s="11" t="s">
        <v>149</v>
      </c>
      <c r="C22" s="21">
        <v>-49.6</v>
      </c>
      <c r="D22" s="65">
        <v>34.097000000000001</v>
      </c>
      <c r="E22" s="21">
        <v>-51.8</v>
      </c>
      <c r="F22" s="28">
        <v>-124</v>
      </c>
      <c r="G22" s="21">
        <v>36.08</v>
      </c>
      <c r="H22" s="21">
        <v>-40.65</v>
      </c>
      <c r="I22" s="21">
        <v>-54.24</v>
      </c>
      <c r="J22" s="21"/>
      <c r="K22" s="21">
        <v>-6.45</v>
      </c>
      <c r="L22" s="21">
        <v>-6.41</v>
      </c>
      <c r="M22" s="21"/>
      <c r="N22" s="21">
        <v>-32.380000000000003</v>
      </c>
      <c r="O22" s="21">
        <v>-32.19</v>
      </c>
    </row>
    <row r="23" spans="1:22" ht="18.75" x14ac:dyDescent="0.2">
      <c r="A23" s="10" t="s">
        <v>150</v>
      </c>
      <c r="B23" s="11"/>
      <c r="C23" s="21"/>
      <c r="D23" s="65"/>
      <c r="E23" s="5"/>
      <c r="F23" s="5"/>
      <c r="G23" s="5"/>
      <c r="H23" s="5"/>
      <c r="I23" s="5"/>
      <c r="J23" s="5"/>
      <c r="K23" s="5"/>
      <c r="L23" s="5"/>
      <c r="M23" s="5"/>
      <c r="N23" s="21"/>
      <c r="O23" s="21"/>
    </row>
    <row r="24" spans="1:22" ht="18.75" x14ac:dyDescent="0.2">
      <c r="A24" s="10" t="s">
        <v>295</v>
      </c>
      <c r="B24" s="11"/>
      <c r="C24" s="21"/>
      <c r="D24" s="65"/>
      <c r="E24" s="5"/>
      <c r="F24" s="5"/>
      <c r="G24" s="5"/>
      <c r="H24" s="5"/>
      <c r="I24" s="5"/>
      <c r="J24" s="5"/>
      <c r="K24" s="5"/>
      <c r="L24" s="5"/>
      <c r="M24" s="5"/>
      <c r="N24" s="21"/>
      <c r="O24" s="21"/>
    </row>
    <row r="25" spans="1:22" ht="63.75" customHeight="1" x14ac:dyDescent="0.3">
      <c r="A25" s="16" t="s">
        <v>374</v>
      </c>
      <c r="B25" s="11" t="s">
        <v>151</v>
      </c>
      <c r="C25" s="42">
        <f>C28+C47+C124+C128</f>
        <v>2262.5</v>
      </c>
      <c r="D25" s="66">
        <f t="shared" ref="D25:M25" si="0">D28+D47+D124+D128</f>
        <v>2843.3</v>
      </c>
      <c r="E25" s="45">
        <f>E28+E47+E124+E128</f>
        <v>2969.7000000000003</v>
      </c>
      <c r="F25" s="45">
        <f>F28+F47+F124+F128</f>
        <v>3013.3999999999996</v>
      </c>
      <c r="G25" s="45">
        <f>G28+G47+G124+G128</f>
        <v>3858.6</v>
      </c>
      <c r="H25" s="122">
        <f>H28+H47+H124+H128</f>
        <v>4063.0000000000005</v>
      </c>
      <c r="I25" s="45">
        <v>4243.8</v>
      </c>
      <c r="J25" s="45">
        <f t="shared" si="0"/>
        <v>0</v>
      </c>
      <c r="K25" s="45">
        <f>K28+K47+K124+K128</f>
        <v>4379.2</v>
      </c>
      <c r="L25" s="45">
        <f>L28+L47+L124+L128</f>
        <v>4614.1000000000004</v>
      </c>
      <c r="M25" s="45">
        <f t="shared" si="0"/>
        <v>0</v>
      </c>
      <c r="N25" s="45">
        <f>N28+N47+N124+N128</f>
        <v>4679</v>
      </c>
      <c r="O25" s="45">
        <f>O28+O47+O124+O128</f>
        <v>4992</v>
      </c>
      <c r="Q25" s="106"/>
      <c r="R25" s="105"/>
      <c r="S25" s="105"/>
      <c r="T25" s="105"/>
      <c r="U25" s="105"/>
      <c r="V25" s="105"/>
    </row>
    <row r="26" spans="1:22" ht="93.75" x14ac:dyDescent="0.2">
      <c r="A26" s="16" t="s">
        <v>152</v>
      </c>
      <c r="B26" s="11" t="s">
        <v>62</v>
      </c>
      <c r="C26" s="30">
        <f>C28/C25*C30+C47/C25*C49+C124/C25*C126+C128/C25*C130</f>
        <v>92.884537522612547</v>
      </c>
      <c r="D26" s="67">
        <f t="shared" ref="D26:O26" si="1">D28/D25*D30+D47/D25*D49+D124/D25*D126+D128/D25*D130</f>
        <v>122.15989792495144</v>
      </c>
      <c r="E26" s="30">
        <f t="shared" si="1"/>
        <v>98.761105252740165</v>
      </c>
      <c r="F26" s="30">
        <f>F28/F25*F30+F47/F25*F49+F124/F25*F126+F128/F25*F130</f>
        <v>94.224482232539231</v>
      </c>
      <c r="G26" s="30">
        <f>G28/G25*G30+G47/G25*G49+G124/G25*G126+G128/G25*G130</f>
        <v>121.03055902974744</v>
      </c>
      <c r="H26" s="30">
        <f t="shared" si="1"/>
        <v>101.19340042303337</v>
      </c>
      <c r="I26" s="30">
        <f>I28/I25*I30+I47/I25*I49+I124/I25*I126+I128/I25*I130</f>
        <v>105.7514078997031</v>
      </c>
      <c r="J26" s="30" t="e">
        <f t="shared" si="1"/>
        <v>#DIV/0!</v>
      </c>
      <c r="K26" s="30">
        <f t="shared" si="1"/>
        <v>103.33024896390677</v>
      </c>
      <c r="L26" s="30">
        <f t="shared" si="1"/>
        <v>104.45643548449597</v>
      </c>
      <c r="M26" s="30" t="e">
        <f t="shared" si="1"/>
        <v>#DIV/0!</v>
      </c>
      <c r="N26" s="30">
        <f t="shared" si="1"/>
        <v>103.05379454133093</v>
      </c>
      <c r="O26" s="30">
        <f t="shared" si="1"/>
        <v>104.43097130118967</v>
      </c>
    </row>
    <row r="27" spans="1:22" ht="18.75" x14ac:dyDescent="0.2">
      <c r="A27" s="10" t="s">
        <v>153</v>
      </c>
      <c r="B27" s="11"/>
      <c r="C27" s="5"/>
      <c r="D27" s="68"/>
      <c r="E27" s="5"/>
      <c r="F27" s="5"/>
      <c r="G27" s="5"/>
      <c r="H27" s="5"/>
      <c r="I27" s="5"/>
      <c r="J27" s="5"/>
      <c r="K27" s="5"/>
      <c r="L27" s="5"/>
      <c r="M27" s="5"/>
      <c r="N27" s="21"/>
      <c r="O27" s="21"/>
    </row>
    <row r="28" spans="1:22" ht="75" x14ac:dyDescent="0.2">
      <c r="A28" s="16" t="s">
        <v>160</v>
      </c>
      <c r="B28" s="11" t="s">
        <v>151</v>
      </c>
      <c r="C28" s="43">
        <f t="shared" ref="C28:I28" si="2">C37+C40</f>
        <v>681.5</v>
      </c>
      <c r="D28" s="69">
        <f t="shared" si="2"/>
        <v>1127</v>
      </c>
      <c r="E28" s="45">
        <f t="shared" si="2"/>
        <v>1000.9</v>
      </c>
      <c r="F28" s="45">
        <f t="shared" si="2"/>
        <v>786.3</v>
      </c>
      <c r="G28" s="45">
        <f t="shared" si="2"/>
        <v>1072.9000000000001</v>
      </c>
      <c r="H28" s="45">
        <f t="shared" si="2"/>
        <v>1260.9000000000001</v>
      </c>
      <c r="I28" s="45">
        <f t="shared" si="2"/>
        <v>1332.5</v>
      </c>
      <c r="J28" s="44"/>
      <c r="K28" s="45">
        <f>K37+K40</f>
        <v>1437.9</v>
      </c>
      <c r="L28" s="45">
        <f>L37+L40</f>
        <v>1560.8</v>
      </c>
      <c r="M28" s="44"/>
      <c r="N28" s="45">
        <f>N37+N40</f>
        <v>1603.8</v>
      </c>
      <c r="O28" s="45">
        <f>O37+O40</f>
        <v>1784</v>
      </c>
    </row>
    <row r="29" spans="1:22" ht="40.5" customHeight="1" x14ac:dyDescent="0.2">
      <c r="A29" s="16" t="s">
        <v>161</v>
      </c>
      <c r="B29" s="11" t="s">
        <v>139</v>
      </c>
      <c r="C29" s="41">
        <v>105.9</v>
      </c>
      <c r="D29" s="65">
        <v>95</v>
      </c>
      <c r="E29" s="5">
        <v>107.9</v>
      </c>
      <c r="F29" s="5">
        <v>140</v>
      </c>
      <c r="G29" s="5">
        <v>91.3</v>
      </c>
      <c r="H29" s="5">
        <v>105.6</v>
      </c>
      <c r="I29" s="5">
        <v>105.9</v>
      </c>
      <c r="J29" s="5"/>
      <c r="K29" s="5">
        <v>102.7</v>
      </c>
      <c r="L29" s="5">
        <v>102.8</v>
      </c>
      <c r="M29" s="5"/>
      <c r="N29" s="21">
        <v>102.8</v>
      </c>
      <c r="O29" s="21">
        <v>102.9</v>
      </c>
    </row>
    <row r="30" spans="1:22" ht="93.75" x14ac:dyDescent="0.2">
      <c r="A30" s="16" t="s">
        <v>162</v>
      </c>
      <c r="B30" s="11" t="s">
        <v>62</v>
      </c>
      <c r="C30" s="5">
        <f t="shared" ref="C30:I30" si="3">C37/C28*C39+C40/C28*C41</f>
        <v>102.59427286047999</v>
      </c>
      <c r="D30" s="67">
        <f t="shared" si="3"/>
        <v>144.00390889603278</v>
      </c>
      <c r="E30" s="30">
        <f t="shared" si="3"/>
        <v>81.918022948882552</v>
      </c>
      <c r="F30" s="30">
        <f>F37/F28*F39+F40/F28*F41</f>
        <v>73.098679195115764</v>
      </c>
      <c r="G30" s="30">
        <f>G37/G28*G39+G40/G28*G41</f>
        <v>122.93687045345749</v>
      </c>
      <c r="H30" s="30">
        <f t="shared" si="3"/>
        <v>111.87274957578175</v>
      </c>
      <c r="I30" s="30">
        <f t="shared" si="3"/>
        <v>118.03059875753669</v>
      </c>
      <c r="J30" s="30"/>
      <c r="K30" s="30">
        <f>K37/K28*K39+K40/K28*K41</f>
        <v>108.3892888935294</v>
      </c>
      <c r="L30" s="30">
        <f>L37/L28*L39+L40/L28*L41</f>
        <v>111.57405704749495</v>
      </c>
      <c r="M30" s="30"/>
      <c r="N30" s="30">
        <f>N37/N28*N39+N40/N28*N41</f>
        <v>107.46204031642493</v>
      </c>
      <c r="O30" s="30">
        <f>O37/O28*O39+O40/O28*O41</f>
        <v>110.14975788926304</v>
      </c>
    </row>
    <row r="31" spans="1:22" ht="56.25" x14ac:dyDescent="0.2">
      <c r="A31" s="16" t="s">
        <v>163</v>
      </c>
      <c r="B31" s="11" t="s">
        <v>151</v>
      </c>
      <c r="C31" s="5"/>
      <c r="D31" s="68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22" ht="24" customHeight="1" x14ac:dyDescent="0.2">
      <c r="A32" s="16" t="s">
        <v>164</v>
      </c>
      <c r="B32" s="11" t="s">
        <v>139</v>
      </c>
      <c r="C32" s="5"/>
      <c r="D32" s="68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9" ht="93.75" x14ac:dyDescent="0.2">
      <c r="A33" s="16" t="s">
        <v>165</v>
      </c>
      <c r="B33" s="11" t="s">
        <v>62</v>
      </c>
      <c r="C33" s="5"/>
      <c r="D33" s="68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9" ht="75" x14ac:dyDescent="0.2">
      <c r="A34" s="16" t="s">
        <v>261</v>
      </c>
      <c r="B34" s="11" t="s">
        <v>151</v>
      </c>
      <c r="C34" s="5"/>
      <c r="D34" s="68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9" ht="56.25" x14ac:dyDescent="0.2">
      <c r="A35" s="16" t="s">
        <v>262</v>
      </c>
      <c r="B35" s="11" t="s">
        <v>139</v>
      </c>
      <c r="C35" s="5"/>
      <c r="D35" s="68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9" ht="93.75" x14ac:dyDescent="0.2">
      <c r="A36" s="16" t="s">
        <v>263</v>
      </c>
      <c r="B36" s="11" t="s">
        <v>62</v>
      </c>
      <c r="C36" s="5"/>
      <c r="D36" s="68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9" ht="83.25" customHeight="1" x14ac:dyDescent="0.2">
      <c r="A37" s="10" t="s">
        <v>166</v>
      </c>
      <c r="B37" s="11" t="s">
        <v>151</v>
      </c>
      <c r="C37" s="44">
        <v>558</v>
      </c>
      <c r="D37" s="66">
        <v>952.6</v>
      </c>
      <c r="E37" s="44">
        <v>848.4</v>
      </c>
      <c r="F37" s="44">
        <v>588</v>
      </c>
      <c r="G37" s="44">
        <v>831</v>
      </c>
      <c r="H37" s="45">
        <v>1007.5</v>
      </c>
      <c r="I37" s="44">
        <v>1071</v>
      </c>
      <c r="J37" s="44"/>
      <c r="K37" s="45">
        <v>1155.3</v>
      </c>
      <c r="L37" s="44">
        <v>1270</v>
      </c>
      <c r="M37" s="44"/>
      <c r="N37" s="45">
        <v>1310</v>
      </c>
      <c r="O37" s="44">
        <v>1482</v>
      </c>
    </row>
    <row r="38" spans="1:19" ht="56.25" x14ac:dyDescent="0.2">
      <c r="A38" s="16" t="s">
        <v>167</v>
      </c>
      <c r="B38" s="11" t="s">
        <v>139</v>
      </c>
      <c r="C38" s="40">
        <v>108</v>
      </c>
      <c r="D38" s="68">
        <v>113.1</v>
      </c>
      <c r="E38" s="30">
        <v>114.6</v>
      </c>
      <c r="F38" s="30">
        <v>109.4</v>
      </c>
      <c r="G38" s="30">
        <v>110.1</v>
      </c>
      <c r="H38" s="30">
        <v>106.3</v>
      </c>
      <c r="I38" s="30">
        <v>105.9</v>
      </c>
      <c r="J38" s="30"/>
      <c r="K38" s="30">
        <v>104.5</v>
      </c>
      <c r="L38" s="30">
        <v>104.4</v>
      </c>
      <c r="M38" s="30"/>
      <c r="N38" s="30">
        <v>104.5</v>
      </c>
      <c r="O38" s="30">
        <v>104.5</v>
      </c>
    </row>
    <row r="39" spans="1:19" ht="93.75" x14ac:dyDescent="0.2">
      <c r="A39" s="16" t="s">
        <v>168</v>
      </c>
      <c r="B39" s="11" t="s">
        <v>62</v>
      </c>
      <c r="C39" s="46">
        <f>C37/495.8/C38*100*100</f>
        <v>104.20868629823855</v>
      </c>
      <c r="D39" s="67">
        <f>D37/C37/D38*100*100</f>
        <v>150.94327663849353</v>
      </c>
      <c r="E39" s="30">
        <f>E37/D37/E38*100*100</f>
        <v>77.715109817935584</v>
      </c>
      <c r="F39" s="30">
        <f>F37/E37/F38*100*100</f>
        <v>63.351856209386938</v>
      </c>
      <c r="G39" s="30">
        <f>G37/F37/G38*100*100</f>
        <v>128.36197149159392</v>
      </c>
      <c r="H39" s="30">
        <f>H37/G37/H38*100*100</f>
        <v>114.05406445667813</v>
      </c>
      <c r="I39" s="30">
        <f>I37/G37/I38*100*100</f>
        <v>121.70053486873729</v>
      </c>
      <c r="J39" s="30"/>
      <c r="K39" s="30">
        <f>K37/H37/K38*100*100</f>
        <v>109.73203367091313</v>
      </c>
      <c r="L39" s="30">
        <f>L37/I37/L38*100*100</f>
        <v>113.58310885018119</v>
      </c>
      <c r="M39" s="30"/>
      <c r="N39" s="30">
        <f>N37/K37/N38*100*100</f>
        <v>108.50761851868877</v>
      </c>
      <c r="O39" s="30">
        <f>O37/L37/O38*100*100</f>
        <v>111.66785969935577</v>
      </c>
    </row>
    <row r="40" spans="1:19" ht="82.5" customHeight="1" x14ac:dyDescent="0.2">
      <c r="A40" s="10" t="s">
        <v>169</v>
      </c>
      <c r="B40" s="11" t="s">
        <v>151</v>
      </c>
      <c r="C40" s="47">
        <v>123.5</v>
      </c>
      <c r="D40" s="70">
        <v>174.4</v>
      </c>
      <c r="E40" s="44">
        <v>152.5</v>
      </c>
      <c r="F40" s="44">
        <v>198.3</v>
      </c>
      <c r="G40" s="44">
        <v>241.9</v>
      </c>
      <c r="H40" s="45">
        <v>253.4</v>
      </c>
      <c r="I40" s="44">
        <v>261.5</v>
      </c>
      <c r="J40" s="44"/>
      <c r="K40" s="45">
        <v>282.60000000000002</v>
      </c>
      <c r="L40" s="44">
        <v>290.8</v>
      </c>
      <c r="M40" s="44"/>
      <c r="N40" s="45">
        <v>293.8</v>
      </c>
      <c r="O40" s="44">
        <v>302</v>
      </c>
    </row>
    <row r="41" spans="1:19" ht="56.25" x14ac:dyDescent="0.2">
      <c r="A41" s="16" t="s">
        <v>170</v>
      </c>
      <c r="B41" s="11" t="s">
        <v>139</v>
      </c>
      <c r="C41" s="41">
        <v>95.3</v>
      </c>
      <c r="D41" s="65">
        <v>106.1</v>
      </c>
      <c r="E41" s="30">
        <v>105.3</v>
      </c>
      <c r="F41" s="30">
        <v>102</v>
      </c>
      <c r="G41" s="30">
        <v>104.3</v>
      </c>
      <c r="H41" s="30">
        <v>103.2</v>
      </c>
      <c r="I41" s="30">
        <v>103</v>
      </c>
      <c r="J41" s="30"/>
      <c r="K41" s="30">
        <v>102.9</v>
      </c>
      <c r="L41" s="30">
        <v>102.8</v>
      </c>
      <c r="M41" s="30"/>
      <c r="N41" s="30">
        <v>102.8</v>
      </c>
      <c r="O41" s="30">
        <v>102.7</v>
      </c>
    </row>
    <row r="42" spans="1:19" ht="93.75" x14ac:dyDescent="0.2">
      <c r="A42" s="16" t="s">
        <v>171</v>
      </c>
      <c r="B42" s="11" t="s">
        <v>62</v>
      </c>
      <c r="C42" s="46">
        <f>C40/131.2/C41*100*100</f>
        <v>98.773449696721528</v>
      </c>
      <c r="D42" s="67">
        <f>D40/C40/D41*100*100</f>
        <v>133.09573506011822</v>
      </c>
      <c r="E42" s="30">
        <f>E40/D40/E41*100*100</f>
        <v>83.041463010881984</v>
      </c>
      <c r="F42" s="30">
        <f>F40/E40/F41*100*100</f>
        <v>127.48312439729992</v>
      </c>
      <c r="G42" s="30">
        <f>G40/F40/G41*100*100</f>
        <v>116.95770714544385</v>
      </c>
      <c r="H42" s="30">
        <f>H40/G40/H41*100*100</f>
        <v>101.50584359607886</v>
      </c>
      <c r="I42" s="30">
        <f>I40/G40/I41*100*100</f>
        <v>104.95390456619722</v>
      </c>
      <c r="J42" s="5"/>
      <c r="K42" s="30">
        <f>K40/H40/K41*100*100</f>
        <v>108.38025592467227</v>
      </c>
      <c r="L42" s="30">
        <f>L40/I40/L41*100*100</f>
        <v>108.17567014604461</v>
      </c>
      <c r="M42" s="5"/>
      <c r="N42" s="30">
        <f>N40/K40/N41*100*100</f>
        <v>101.1315164082271</v>
      </c>
      <c r="O42" s="30">
        <f>O40/L40/O41*100*100</f>
        <v>101.12117263058357</v>
      </c>
    </row>
    <row r="43" spans="1:19" ht="75" x14ac:dyDescent="0.2">
      <c r="A43" s="16" t="s">
        <v>264</v>
      </c>
      <c r="B43" s="11" t="s">
        <v>151</v>
      </c>
      <c r="C43" s="20"/>
      <c r="D43" s="71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S43" s="104"/>
    </row>
    <row r="44" spans="1:19" ht="56.25" x14ac:dyDescent="0.2">
      <c r="A44" s="16" t="s">
        <v>265</v>
      </c>
      <c r="B44" s="11" t="s">
        <v>139</v>
      </c>
      <c r="C44" s="20"/>
      <c r="D44" s="71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5" spans="1:19" ht="93.75" x14ac:dyDescent="0.2">
      <c r="A45" s="16" t="s">
        <v>266</v>
      </c>
      <c r="B45" s="11" t="s">
        <v>62</v>
      </c>
      <c r="C45" s="20"/>
      <c r="D45" s="71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</row>
    <row r="46" spans="1:19" ht="18.75" x14ac:dyDescent="0.2">
      <c r="A46" s="10" t="s">
        <v>154</v>
      </c>
      <c r="B46" s="4"/>
      <c r="C46" s="5"/>
      <c r="D46" s="68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9" ht="75" x14ac:dyDescent="0.2">
      <c r="A47" s="10" t="s">
        <v>172</v>
      </c>
      <c r="B47" s="4" t="s">
        <v>151</v>
      </c>
      <c r="C47" s="44">
        <v>939.2</v>
      </c>
      <c r="D47" s="66">
        <v>1049.8</v>
      </c>
      <c r="E47" s="45">
        <v>1199</v>
      </c>
      <c r="F47" s="45">
        <v>1313.9</v>
      </c>
      <c r="G47" s="45">
        <v>1739.1</v>
      </c>
      <c r="H47" s="45">
        <v>1686.7</v>
      </c>
      <c r="I47" s="45">
        <v>1765.8</v>
      </c>
      <c r="J47" s="44"/>
      <c r="K47" s="45">
        <v>1729.6</v>
      </c>
      <c r="L47" s="45">
        <v>1800.5</v>
      </c>
      <c r="M47" s="44"/>
      <c r="N47" s="45">
        <v>1755.3</v>
      </c>
      <c r="O47" s="118">
        <v>1836.5</v>
      </c>
      <c r="S47" s="114"/>
    </row>
    <row r="48" spans="1:19" ht="56.25" x14ac:dyDescent="0.2">
      <c r="A48" s="16" t="s">
        <v>173</v>
      </c>
      <c r="B48" s="4" t="s">
        <v>139</v>
      </c>
      <c r="C48" s="5">
        <v>104.2</v>
      </c>
      <c r="D48" s="72">
        <v>103.3</v>
      </c>
      <c r="E48" s="30">
        <v>108.1</v>
      </c>
      <c r="F48" s="30">
        <v>119.9</v>
      </c>
      <c r="G48" s="30">
        <v>104.7</v>
      </c>
      <c r="H48" s="30">
        <v>104.7</v>
      </c>
      <c r="I48" s="30">
        <v>104.6</v>
      </c>
      <c r="J48" s="30"/>
      <c r="K48" s="30">
        <v>104.1</v>
      </c>
      <c r="L48" s="30">
        <v>104.1</v>
      </c>
      <c r="M48" s="30"/>
      <c r="N48" s="30">
        <v>103.7</v>
      </c>
      <c r="O48" s="30">
        <v>103.7</v>
      </c>
    </row>
    <row r="49" spans="1:15" ht="93.75" x14ac:dyDescent="0.2">
      <c r="A49" s="16" t="s">
        <v>174</v>
      </c>
      <c r="B49" s="4" t="s">
        <v>62</v>
      </c>
      <c r="C49" s="46">
        <f>C47/1008/C48*100*100</f>
        <v>89.419004966029931</v>
      </c>
      <c r="D49" s="67">
        <f>D47/C47/D48*100*100</f>
        <v>108.20520770287496</v>
      </c>
      <c r="E49" s="30">
        <f>E47/D47/E48*10000</f>
        <v>105.65423765136357</v>
      </c>
      <c r="F49" s="30">
        <f>F47/E47/F48*10000</f>
        <v>91.395317615944904</v>
      </c>
      <c r="G49" s="30">
        <f>G47/F47/G48*10000</f>
        <v>126.41993444133051</v>
      </c>
      <c r="H49" s="30">
        <f>H47/G47/H48*10000</f>
        <v>92.6331874609143</v>
      </c>
      <c r="I49" s="30">
        <f>I47/G47/I48*10000</f>
        <v>97.070054366486801</v>
      </c>
      <c r="J49" s="5"/>
      <c r="K49" s="30">
        <f>K47/H47/K48*10000</f>
        <v>98.50473390537384</v>
      </c>
      <c r="L49" s="30">
        <f>L47/I47/L48*10000</f>
        <v>97.949197850198729</v>
      </c>
      <c r="M49" s="5"/>
      <c r="N49" s="30">
        <f>N47/K47/N48*10000</f>
        <v>97.864891699085717</v>
      </c>
      <c r="O49" s="30">
        <f>O47/L47/O48*10000</f>
        <v>98.36012015305937</v>
      </c>
    </row>
    <row r="50" spans="1:15" ht="75" x14ac:dyDescent="0.2">
      <c r="A50" s="16" t="s">
        <v>175</v>
      </c>
      <c r="B50" s="4" t="s">
        <v>151</v>
      </c>
      <c r="C50" s="5"/>
      <c r="D50" s="72"/>
      <c r="E50" s="5"/>
      <c r="F50" s="5"/>
      <c r="G50" s="5"/>
      <c r="H50" s="26"/>
      <c r="I50" s="5"/>
      <c r="J50" s="5"/>
      <c r="K50" s="5"/>
      <c r="L50" s="5"/>
      <c r="M50" s="5"/>
      <c r="N50" s="21"/>
      <c r="O50" s="21"/>
    </row>
    <row r="51" spans="1:15" ht="56.25" x14ac:dyDescent="0.2">
      <c r="A51" s="16" t="s">
        <v>176</v>
      </c>
      <c r="B51" s="4" t="s">
        <v>139</v>
      </c>
      <c r="C51" s="5"/>
      <c r="D51" s="72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93.75" x14ac:dyDescent="0.2">
      <c r="A52" s="16" t="s">
        <v>177</v>
      </c>
      <c r="B52" s="4" t="s">
        <v>62</v>
      </c>
      <c r="C52" s="5"/>
      <c r="D52" s="72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ht="75" x14ac:dyDescent="0.2">
      <c r="A53" s="16" t="s">
        <v>178</v>
      </c>
      <c r="B53" s="11" t="s">
        <v>151</v>
      </c>
      <c r="C53" s="20"/>
      <c r="D53" s="71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56.25" x14ac:dyDescent="0.2">
      <c r="A54" s="16" t="s">
        <v>179</v>
      </c>
      <c r="B54" s="11" t="s">
        <v>139</v>
      </c>
      <c r="C54" s="5"/>
      <c r="D54" s="72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93.75" x14ac:dyDescent="0.2">
      <c r="A55" s="16" t="s">
        <v>180</v>
      </c>
      <c r="B55" s="11" t="s">
        <v>62</v>
      </c>
      <c r="C55" s="20"/>
      <c r="D55" s="71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75" x14ac:dyDescent="0.2">
      <c r="A56" s="16" t="s">
        <v>181</v>
      </c>
      <c r="B56" s="11" t="s">
        <v>151</v>
      </c>
      <c r="C56" s="20"/>
      <c r="D56" s="71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56.25" x14ac:dyDescent="0.2">
      <c r="A57" s="16" t="s">
        <v>182</v>
      </c>
      <c r="B57" s="11" t="s">
        <v>139</v>
      </c>
      <c r="C57" s="5"/>
      <c r="D57" s="72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93.75" x14ac:dyDescent="0.2">
      <c r="A58" s="16" t="s">
        <v>183</v>
      </c>
      <c r="B58" s="11" t="s">
        <v>62</v>
      </c>
      <c r="C58" s="20"/>
      <c r="D58" s="71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ht="75" x14ac:dyDescent="0.2">
      <c r="A59" s="16" t="s">
        <v>184</v>
      </c>
      <c r="B59" s="11" t="s">
        <v>151</v>
      </c>
      <c r="C59" s="20"/>
      <c r="D59" s="71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ht="56.25" x14ac:dyDescent="0.2">
      <c r="A60" s="16" t="s">
        <v>185</v>
      </c>
      <c r="B60" s="11" t="s">
        <v>139</v>
      </c>
      <c r="C60" s="20"/>
      <c r="D60" s="71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56.25" x14ac:dyDescent="0.2">
      <c r="A61" s="16" t="s">
        <v>186</v>
      </c>
      <c r="B61" s="11" t="s">
        <v>139</v>
      </c>
      <c r="C61" s="20"/>
      <c r="D61" s="71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15" ht="56.25" x14ac:dyDescent="0.2">
      <c r="A62" s="16" t="s">
        <v>187</v>
      </c>
      <c r="B62" s="11" t="s">
        <v>151</v>
      </c>
      <c r="C62" s="20"/>
      <c r="D62" s="71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spans="1:15" ht="56.25" x14ac:dyDescent="0.2">
      <c r="A63" s="16" t="s">
        <v>188</v>
      </c>
      <c r="B63" s="11" t="s">
        <v>139</v>
      </c>
      <c r="C63" s="20"/>
      <c r="D63" s="71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spans="1:15" ht="93.75" x14ac:dyDescent="0.2">
      <c r="A64" s="16" t="s">
        <v>189</v>
      </c>
      <c r="B64" s="11" t="s">
        <v>62</v>
      </c>
      <c r="C64" s="20"/>
      <c r="D64" s="71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</row>
    <row r="65" spans="1:15" ht="75" x14ac:dyDescent="0.2">
      <c r="A65" s="16" t="s">
        <v>190</v>
      </c>
      <c r="B65" s="4" t="s">
        <v>151</v>
      </c>
      <c r="C65" s="20"/>
      <c r="D65" s="71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15" ht="56.25" x14ac:dyDescent="0.2">
      <c r="A66" s="16" t="s">
        <v>191</v>
      </c>
      <c r="B66" s="4" t="s">
        <v>139</v>
      </c>
      <c r="C66" s="20"/>
      <c r="D66" s="71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15" ht="93.75" x14ac:dyDescent="0.2">
      <c r="A67" s="16" t="s">
        <v>192</v>
      </c>
      <c r="B67" s="4" t="s">
        <v>62</v>
      </c>
      <c r="C67" s="20"/>
      <c r="D67" s="71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15" ht="112.5" x14ac:dyDescent="0.2">
      <c r="A68" s="16" t="s">
        <v>193</v>
      </c>
      <c r="B68" s="4" t="s">
        <v>151</v>
      </c>
      <c r="C68" s="5"/>
      <c r="D68" s="72"/>
      <c r="E68" s="5"/>
      <c r="F68" s="5"/>
      <c r="G68" s="5"/>
      <c r="H68" s="26"/>
      <c r="I68" s="5"/>
      <c r="J68" s="5"/>
      <c r="K68" s="5"/>
      <c r="L68" s="5"/>
      <c r="M68" s="5"/>
      <c r="N68" s="5"/>
      <c r="O68" s="5"/>
    </row>
    <row r="69" spans="1:15" ht="75" x14ac:dyDescent="0.2">
      <c r="A69" s="16" t="s">
        <v>194</v>
      </c>
      <c r="B69" s="4" t="s">
        <v>139</v>
      </c>
      <c r="C69" s="21"/>
      <c r="D69" s="73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ht="93.75" x14ac:dyDescent="0.2">
      <c r="A70" s="16" t="s">
        <v>195</v>
      </c>
      <c r="B70" s="4" t="s">
        <v>62</v>
      </c>
      <c r="C70" s="5"/>
      <c r="D70" s="72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ht="75" x14ac:dyDescent="0.2">
      <c r="A71" s="16" t="s">
        <v>196</v>
      </c>
      <c r="B71" s="4" t="s">
        <v>151</v>
      </c>
      <c r="C71" s="20"/>
      <c r="D71" s="71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</row>
    <row r="72" spans="1:15" ht="56.25" x14ac:dyDescent="0.2">
      <c r="A72" s="16" t="s">
        <v>197</v>
      </c>
      <c r="B72" s="4" t="s">
        <v>139</v>
      </c>
      <c r="C72" s="20"/>
      <c r="D72" s="71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</row>
    <row r="73" spans="1:15" ht="93.75" x14ac:dyDescent="0.2">
      <c r="A73" s="16" t="s">
        <v>198</v>
      </c>
      <c r="B73" s="4" t="s">
        <v>62</v>
      </c>
      <c r="C73" s="20"/>
      <c r="D73" s="71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 ht="93.75" x14ac:dyDescent="0.2">
      <c r="A74" s="16" t="s">
        <v>199</v>
      </c>
      <c r="B74" s="11" t="s">
        <v>151</v>
      </c>
      <c r="C74" s="21"/>
      <c r="D74" s="73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56.25" x14ac:dyDescent="0.2">
      <c r="A75" s="16" t="s">
        <v>200</v>
      </c>
      <c r="B75" s="11" t="s">
        <v>139</v>
      </c>
      <c r="C75" s="5"/>
      <c r="D75" s="72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93.75" x14ac:dyDescent="0.2">
      <c r="A76" s="16" t="s">
        <v>201</v>
      </c>
      <c r="B76" s="11" t="s">
        <v>62</v>
      </c>
      <c r="C76" s="5"/>
      <c r="D76" s="72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ht="75" x14ac:dyDescent="0.2">
      <c r="A77" s="16" t="s">
        <v>202</v>
      </c>
      <c r="B77" s="4" t="s">
        <v>151</v>
      </c>
      <c r="C77" s="20"/>
      <c r="D77" s="74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ht="56.25" x14ac:dyDescent="0.2">
      <c r="A78" s="16" t="s">
        <v>203</v>
      </c>
      <c r="B78" s="4" t="s">
        <v>139</v>
      </c>
      <c r="C78" s="20"/>
      <c r="D78" s="71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ht="93.75" x14ac:dyDescent="0.2">
      <c r="A79" s="16" t="s">
        <v>204</v>
      </c>
      <c r="B79" s="4" t="s">
        <v>62</v>
      </c>
      <c r="C79" s="20"/>
      <c r="D79" s="71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ht="75" x14ac:dyDescent="0.2">
      <c r="A80" s="16" t="s">
        <v>205</v>
      </c>
      <c r="B80" s="4" t="s">
        <v>151</v>
      </c>
      <c r="C80" s="20"/>
      <c r="D80" s="71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ht="56.25" x14ac:dyDescent="0.2">
      <c r="A81" s="16" t="s">
        <v>206</v>
      </c>
      <c r="B81" s="4" t="s">
        <v>139</v>
      </c>
      <c r="C81" s="20"/>
      <c r="D81" s="71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ht="93.75" x14ac:dyDescent="0.2">
      <c r="A82" s="16" t="s">
        <v>207</v>
      </c>
      <c r="B82" s="4" t="s">
        <v>62</v>
      </c>
      <c r="C82" s="20"/>
      <c r="D82" s="71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ht="93.75" x14ac:dyDescent="0.2">
      <c r="A83" s="16" t="s">
        <v>208</v>
      </c>
      <c r="B83" s="11" t="s">
        <v>151</v>
      </c>
      <c r="C83" s="20"/>
      <c r="D83" s="71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ht="56.25" x14ac:dyDescent="0.2">
      <c r="A84" s="16" t="s">
        <v>209</v>
      </c>
      <c r="B84" s="11" t="s">
        <v>139</v>
      </c>
      <c r="C84" s="20"/>
      <c r="D84" s="71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  <row r="85" spans="1:15" ht="93.75" x14ac:dyDescent="0.2">
      <c r="A85" s="16" t="s">
        <v>210</v>
      </c>
      <c r="B85" s="11" t="s">
        <v>62</v>
      </c>
      <c r="C85" s="20"/>
      <c r="D85" s="71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</row>
    <row r="86" spans="1:15" ht="75" x14ac:dyDescent="0.2">
      <c r="A86" s="16" t="s">
        <v>211</v>
      </c>
      <c r="B86" s="4" t="s">
        <v>151</v>
      </c>
      <c r="C86" s="20"/>
      <c r="D86" s="71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1:15" ht="56.25" x14ac:dyDescent="0.2">
      <c r="A87" s="16" t="s">
        <v>212</v>
      </c>
      <c r="B87" s="4" t="s">
        <v>139</v>
      </c>
      <c r="C87" s="20"/>
      <c r="D87" s="71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1:15" ht="93.75" x14ac:dyDescent="0.2">
      <c r="A88" s="16" t="s">
        <v>213</v>
      </c>
      <c r="B88" s="4" t="s">
        <v>62</v>
      </c>
      <c r="C88" s="20"/>
      <c r="D88" s="71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1:15" ht="75" x14ac:dyDescent="0.2">
      <c r="A89" s="16" t="s">
        <v>214</v>
      </c>
      <c r="B89" s="4" t="s">
        <v>151</v>
      </c>
      <c r="C89" s="20"/>
      <c r="D89" s="71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1:15" ht="56.25" x14ac:dyDescent="0.2">
      <c r="A90" s="16" t="s">
        <v>215</v>
      </c>
      <c r="B90" s="4" t="s">
        <v>139</v>
      </c>
      <c r="C90" s="20"/>
      <c r="D90" s="71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5" ht="93.75" x14ac:dyDescent="0.2">
      <c r="A91" s="16" t="s">
        <v>216</v>
      </c>
      <c r="B91" s="4" t="s">
        <v>62</v>
      </c>
      <c r="C91" s="20"/>
      <c r="D91" s="71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1:15" ht="75" x14ac:dyDescent="0.2">
      <c r="A92" s="16" t="s">
        <v>217</v>
      </c>
      <c r="B92" s="4" t="s">
        <v>151</v>
      </c>
      <c r="C92" s="20"/>
      <c r="D92" s="71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1:15" ht="56.25" x14ac:dyDescent="0.2">
      <c r="A93" s="16" t="s">
        <v>218</v>
      </c>
      <c r="B93" s="4" t="s">
        <v>139</v>
      </c>
      <c r="C93" s="20"/>
      <c r="D93" s="71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1:15" ht="93.75" x14ac:dyDescent="0.2">
      <c r="A94" s="16" t="s">
        <v>219</v>
      </c>
      <c r="B94" s="4" t="s">
        <v>62</v>
      </c>
      <c r="C94" s="20"/>
      <c r="D94" s="71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1:15" ht="93.75" x14ac:dyDescent="0.2">
      <c r="A95" s="16" t="s">
        <v>220</v>
      </c>
      <c r="B95" s="11" t="s">
        <v>151</v>
      </c>
      <c r="C95" s="20"/>
      <c r="D95" s="71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1:15" ht="56.25" x14ac:dyDescent="0.2">
      <c r="A96" s="16" t="s">
        <v>221</v>
      </c>
      <c r="B96" s="11" t="s">
        <v>139</v>
      </c>
      <c r="C96" s="20"/>
      <c r="D96" s="71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1:15" ht="93.75" x14ac:dyDescent="0.2">
      <c r="A97" s="16" t="s">
        <v>222</v>
      </c>
      <c r="B97" s="11" t="s">
        <v>62</v>
      </c>
      <c r="C97" s="20"/>
      <c r="D97" s="71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 ht="75" x14ac:dyDescent="0.2">
      <c r="A98" s="16" t="s">
        <v>223</v>
      </c>
      <c r="B98" s="11" t="s">
        <v>151</v>
      </c>
      <c r="C98" s="20"/>
      <c r="D98" s="71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 ht="56.25" x14ac:dyDescent="0.2">
      <c r="A99" s="16" t="s">
        <v>224</v>
      </c>
      <c r="B99" s="11" t="s">
        <v>139</v>
      </c>
      <c r="C99" s="20"/>
      <c r="D99" s="71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 ht="93.75" x14ac:dyDescent="0.2">
      <c r="A100" s="16" t="s">
        <v>225</v>
      </c>
      <c r="B100" s="11" t="s">
        <v>62</v>
      </c>
      <c r="C100" s="20"/>
      <c r="D100" s="71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75" x14ac:dyDescent="0.2">
      <c r="A101" s="16" t="s">
        <v>226</v>
      </c>
      <c r="B101" s="4" t="s">
        <v>151</v>
      </c>
      <c r="C101" s="20"/>
      <c r="D101" s="71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ht="56.25" x14ac:dyDescent="0.2">
      <c r="A102" s="16" t="s">
        <v>227</v>
      </c>
      <c r="B102" s="4" t="s">
        <v>139</v>
      </c>
      <c r="C102" s="20"/>
      <c r="D102" s="71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 ht="93.75" x14ac:dyDescent="0.2">
      <c r="A103" s="16" t="s">
        <v>228</v>
      </c>
      <c r="B103" s="4" t="s">
        <v>62</v>
      </c>
      <c r="C103" s="20"/>
      <c r="D103" s="71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ht="93.75" x14ac:dyDescent="0.2">
      <c r="A104" s="16" t="s">
        <v>229</v>
      </c>
      <c r="B104" s="4" t="s">
        <v>151</v>
      </c>
      <c r="C104" s="20"/>
      <c r="D104" s="71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ht="56.25" x14ac:dyDescent="0.2">
      <c r="A105" s="16" t="s">
        <v>230</v>
      </c>
      <c r="B105" s="4" t="s">
        <v>139</v>
      </c>
      <c r="C105" s="20"/>
      <c r="D105" s="71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ht="93.75" x14ac:dyDescent="0.2">
      <c r="A106" s="16" t="s">
        <v>231</v>
      </c>
      <c r="B106" s="4" t="s">
        <v>62</v>
      </c>
      <c r="C106" s="20"/>
      <c r="D106" s="71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ht="93.75" x14ac:dyDescent="0.2">
      <c r="A107" s="16" t="s">
        <v>232</v>
      </c>
      <c r="B107" s="11" t="s">
        <v>151</v>
      </c>
      <c r="C107" s="20"/>
      <c r="D107" s="71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ht="56.25" x14ac:dyDescent="0.2">
      <c r="A108" s="16" t="s">
        <v>233</v>
      </c>
      <c r="B108" s="11" t="s">
        <v>139</v>
      </c>
      <c r="C108" s="20"/>
      <c r="D108" s="71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09" spans="1:15" ht="93.75" x14ac:dyDescent="0.2">
      <c r="A109" s="16" t="s">
        <v>234</v>
      </c>
      <c r="B109" s="11" t="s">
        <v>62</v>
      </c>
      <c r="C109" s="20"/>
      <c r="D109" s="71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0" spans="1:15" ht="75" x14ac:dyDescent="0.2">
      <c r="A110" s="16" t="s">
        <v>235</v>
      </c>
      <c r="B110" s="11" t="s">
        <v>151</v>
      </c>
      <c r="C110" s="20"/>
      <c r="D110" s="71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</row>
    <row r="111" spans="1:15" ht="56.25" x14ac:dyDescent="0.2">
      <c r="A111" s="16" t="s">
        <v>236</v>
      </c>
      <c r="B111" s="11" t="s">
        <v>139</v>
      </c>
      <c r="C111" s="20"/>
      <c r="D111" s="71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</row>
    <row r="112" spans="1:15" ht="93.75" x14ac:dyDescent="0.2">
      <c r="A112" s="16" t="s">
        <v>237</v>
      </c>
      <c r="B112" s="11" t="s">
        <v>62</v>
      </c>
      <c r="C112" s="20"/>
      <c r="D112" s="71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</row>
    <row r="113" spans="1:22" ht="56.25" x14ac:dyDescent="0.2">
      <c r="A113" s="16" t="s">
        <v>238</v>
      </c>
      <c r="B113" s="11" t="s">
        <v>151</v>
      </c>
      <c r="C113" s="20"/>
      <c r="D113" s="71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</row>
    <row r="114" spans="1:22" ht="56.25" x14ac:dyDescent="0.2">
      <c r="A114" s="16" t="s">
        <v>239</v>
      </c>
      <c r="B114" s="11" t="s">
        <v>139</v>
      </c>
      <c r="C114" s="20"/>
      <c r="D114" s="71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</row>
    <row r="115" spans="1:22" ht="93.75" x14ac:dyDescent="0.2">
      <c r="A115" s="16" t="s">
        <v>240</v>
      </c>
      <c r="B115" s="11" t="s">
        <v>62</v>
      </c>
      <c r="C115" s="20"/>
      <c r="D115" s="71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</row>
    <row r="116" spans="1:22" ht="75" x14ac:dyDescent="0.2">
      <c r="A116" s="16" t="s">
        <v>241</v>
      </c>
      <c r="B116" s="11" t="s">
        <v>151</v>
      </c>
      <c r="C116" s="20"/>
      <c r="D116" s="71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</row>
    <row r="117" spans="1:22" ht="56.25" x14ac:dyDescent="0.2">
      <c r="A117" s="16" t="s">
        <v>242</v>
      </c>
      <c r="B117" s="11" t="s">
        <v>139</v>
      </c>
      <c r="C117" s="20"/>
      <c r="D117" s="71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</row>
    <row r="118" spans="1:22" ht="93.75" x14ac:dyDescent="0.2">
      <c r="A118" s="16" t="s">
        <v>243</v>
      </c>
      <c r="B118" s="11" t="s">
        <v>62</v>
      </c>
      <c r="C118" s="20"/>
      <c r="D118" s="71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</row>
    <row r="119" spans="1:22" ht="75" x14ac:dyDescent="0.2">
      <c r="A119" s="16" t="s">
        <v>244</v>
      </c>
      <c r="B119" s="11" t="s">
        <v>151</v>
      </c>
      <c r="C119" s="20"/>
      <c r="D119" s="71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22" ht="93.75" x14ac:dyDescent="0.2">
      <c r="A120" s="16" t="s">
        <v>245</v>
      </c>
      <c r="B120" s="11" t="s">
        <v>122</v>
      </c>
      <c r="C120" s="20"/>
      <c r="D120" s="71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22" ht="56.25" x14ac:dyDescent="0.2">
      <c r="A121" s="16" t="s">
        <v>246</v>
      </c>
      <c r="B121" s="11" t="s">
        <v>139</v>
      </c>
      <c r="C121" s="20"/>
      <c r="D121" s="71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22" ht="93.75" x14ac:dyDescent="0.2">
      <c r="A122" s="16" t="s">
        <v>247</v>
      </c>
      <c r="B122" s="11" t="s">
        <v>62</v>
      </c>
      <c r="C122" s="20"/>
      <c r="D122" s="71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22" ht="37.5" x14ac:dyDescent="0.2">
      <c r="A123" s="10" t="s">
        <v>248</v>
      </c>
      <c r="B123" s="4"/>
      <c r="C123" s="5"/>
      <c r="D123" s="68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22" ht="100.5" customHeight="1" x14ac:dyDescent="0.2">
      <c r="A124" s="10" t="s">
        <v>258</v>
      </c>
      <c r="B124" s="4" t="s">
        <v>151</v>
      </c>
      <c r="C124" s="44">
        <v>323.60000000000002</v>
      </c>
      <c r="D124" s="75">
        <v>424.7</v>
      </c>
      <c r="E124" s="45">
        <v>493.5</v>
      </c>
      <c r="F124" s="45">
        <v>560</v>
      </c>
      <c r="G124" s="45">
        <v>626.1</v>
      </c>
      <c r="H124" s="45">
        <v>666.8</v>
      </c>
      <c r="I124" s="45">
        <v>695.5</v>
      </c>
      <c r="J124" s="45"/>
      <c r="K124" s="45">
        <v>733</v>
      </c>
      <c r="L124" s="45">
        <v>771.8</v>
      </c>
      <c r="M124" s="45"/>
      <c r="N124" s="45">
        <v>808.1</v>
      </c>
      <c r="O124" s="45">
        <v>855.7</v>
      </c>
    </row>
    <row r="125" spans="1:22" ht="56.25" x14ac:dyDescent="0.2">
      <c r="A125" s="16" t="s">
        <v>259</v>
      </c>
      <c r="B125" s="4" t="s">
        <v>139</v>
      </c>
      <c r="C125" s="5">
        <v>105.7</v>
      </c>
      <c r="D125" s="72">
        <v>103.9</v>
      </c>
      <c r="E125" s="5">
        <v>106.2</v>
      </c>
      <c r="F125" s="5">
        <v>102.1</v>
      </c>
      <c r="G125" s="5">
        <v>103.8</v>
      </c>
      <c r="H125" s="5">
        <v>104.3</v>
      </c>
      <c r="I125" s="5">
        <v>104.3</v>
      </c>
      <c r="J125" s="5"/>
      <c r="K125" s="5">
        <v>104.3</v>
      </c>
      <c r="L125" s="5">
        <v>104.3</v>
      </c>
      <c r="M125" s="5"/>
      <c r="N125" s="5">
        <v>104.2</v>
      </c>
      <c r="O125" s="5">
        <v>104.2</v>
      </c>
    </row>
    <row r="126" spans="1:22" ht="93.75" x14ac:dyDescent="0.2">
      <c r="A126" s="16" t="s">
        <v>260</v>
      </c>
      <c r="B126" s="4" t="s">
        <v>62</v>
      </c>
      <c r="C126" s="30">
        <f>C124/355.7/C125*100*100</f>
        <v>86.069575389208168</v>
      </c>
      <c r="D126" s="76">
        <f>D124/C124/D125*100*100</f>
        <v>126.315952274163</v>
      </c>
      <c r="E126" s="29">
        <f>E124/D124/E125*10000</f>
        <v>109.41588545719878</v>
      </c>
      <c r="F126" s="29">
        <f>F124/E124/F125*10000</f>
        <v>111.1412118559888</v>
      </c>
      <c r="G126" s="29">
        <f>G124/F124/G125*10000</f>
        <v>107.71056977704377</v>
      </c>
      <c r="H126" s="29">
        <f>H124/G124/H125*10000</f>
        <v>102.10983606532272</v>
      </c>
      <c r="I126" s="29">
        <v>106.5</v>
      </c>
      <c r="J126" s="29"/>
      <c r="K126" s="29">
        <v>105.4</v>
      </c>
      <c r="L126" s="29">
        <v>106.4</v>
      </c>
      <c r="M126" s="29"/>
      <c r="N126" s="29">
        <v>105.8</v>
      </c>
      <c r="O126" s="29">
        <v>106.4</v>
      </c>
    </row>
    <row r="127" spans="1:22" ht="56.25" x14ac:dyDescent="0.2">
      <c r="A127" s="10" t="s">
        <v>252</v>
      </c>
      <c r="B127" s="4"/>
      <c r="C127" s="20"/>
      <c r="D127" s="77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22" ht="119.25" customHeight="1" x14ac:dyDescent="0.2">
      <c r="A128" s="10" t="s">
        <v>249</v>
      </c>
      <c r="B128" s="4" t="s">
        <v>151</v>
      </c>
      <c r="C128" s="48">
        <v>318.2</v>
      </c>
      <c r="D128" s="78">
        <v>241.8</v>
      </c>
      <c r="E128" s="119">
        <v>276.3</v>
      </c>
      <c r="F128" s="139">
        <v>353.2</v>
      </c>
      <c r="G128" s="139">
        <v>420.5</v>
      </c>
      <c r="H128" s="45">
        <v>448.6</v>
      </c>
      <c r="I128" s="45">
        <v>450</v>
      </c>
      <c r="J128" s="45"/>
      <c r="K128" s="45">
        <v>478.7</v>
      </c>
      <c r="L128" s="45">
        <v>481</v>
      </c>
      <c r="M128" s="45"/>
      <c r="N128" s="45">
        <v>511.8</v>
      </c>
      <c r="O128" s="45">
        <v>515.79999999999995</v>
      </c>
      <c r="R128" s="114"/>
      <c r="S128" s="140"/>
      <c r="T128" s="140"/>
      <c r="U128" s="140"/>
      <c r="V128" s="140"/>
    </row>
    <row r="129" spans="1:20" ht="75" x14ac:dyDescent="0.2">
      <c r="A129" s="16" t="s">
        <v>250</v>
      </c>
      <c r="B129" s="4" t="s">
        <v>139</v>
      </c>
      <c r="C129" s="20">
        <v>102.1</v>
      </c>
      <c r="D129" s="74">
        <v>103.2</v>
      </c>
      <c r="E129" s="5">
        <v>103.1</v>
      </c>
      <c r="F129" s="5">
        <v>102.3</v>
      </c>
      <c r="G129" s="5">
        <v>104.7</v>
      </c>
      <c r="H129" s="5">
        <v>104.6</v>
      </c>
      <c r="I129" s="5">
        <v>104.6</v>
      </c>
      <c r="J129" s="5"/>
      <c r="K129" s="5">
        <v>104.2</v>
      </c>
      <c r="L129" s="5">
        <v>104.2</v>
      </c>
      <c r="M129" s="5"/>
      <c r="N129" s="5">
        <v>104.1</v>
      </c>
      <c r="O129" s="5">
        <v>104.1</v>
      </c>
    </row>
    <row r="130" spans="1:20" ht="93.75" x14ac:dyDescent="0.2">
      <c r="A130" s="16" t="s">
        <v>251</v>
      </c>
      <c r="B130" s="4" t="s">
        <v>62</v>
      </c>
      <c r="C130" s="20">
        <f>C128/349.2/C129*10000</f>
        <v>89.248350504244755</v>
      </c>
      <c r="D130" s="79">
        <f>D128/C128/D129*10000</f>
        <v>73.63366611608906</v>
      </c>
      <c r="E130" s="120">
        <f>E128/D128/E129*10000</f>
        <v>110.83219211876013</v>
      </c>
      <c r="F130" s="120">
        <f>F128/E128/F129*10000</f>
        <v>124.95803186146782</v>
      </c>
      <c r="G130" s="120">
        <f>G128/F128/G129*10000</f>
        <v>113.70999057870137</v>
      </c>
      <c r="H130" s="121">
        <v>102</v>
      </c>
      <c r="I130" s="121">
        <v>102.3</v>
      </c>
      <c r="J130" s="121"/>
      <c r="K130" s="121">
        <v>102.4</v>
      </c>
      <c r="L130" s="121">
        <v>102.6</v>
      </c>
      <c r="M130" s="121"/>
      <c r="N130" s="121">
        <v>102.7</v>
      </c>
      <c r="O130" s="121">
        <v>103</v>
      </c>
    </row>
    <row r="131" spans="1:20" ht="18.75" x14ac:dyDescent="0.2">
      <c r="A131" s="10" t="s">
        <v>296</v>
      </c>
      <c r="B131" s="4"/>
      <c r="C131" s="5"/>
      <c r="D131" s="80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20" ht="18.75" x14ac:dyDescent="0.2">
      <c r="A132" s="12" t="s">
        <v>7</v>
      </c>
      <c r="B132" s="6" t="s">
        <v>8</v>
      </c>
      <c r="C132" s="42">
        <v>1884.4</v>
      </c>
      <c r="D132" s="75">
        <v>1919.9</v>
      </c>
      <c r="E132" s="118">
        <f>E136+E139</f>
        <v>1916.9</v>
      </c>
      <c r="F132" s="118">
        <f>F136+F139</f>
        <v>2165.9</v>
      </c>
      <c r="G132" s="118">
        <f>G136+G139</f>
        <v>2182.6</v>
      </c>
      <c r="H132" s="123">
        <f>H136+H139</f>
        <v>2189.8000000000002</v>
      </c>
      <c r="I132" s="123">
        <f>I136+I139</f>
        <v>2199.6999999999998</v>
      </c>
      <c r="J132" s="123"/>
      <c r="K132" s="123">
        <f>K136+K139</f>
        <v>2202.6999999999998</v>
      </c>
      <c r="L132" s="123">
        <f>L136+L139</f>
        <v>2211</v>
      </c>
      <c r="M132" s="123"/>
      <c r="N132" s="123">
        <f>N136+N139</f>
        <v>2233.8000000000002</v>
      </c>
      <c r="O132" s="123">
        <f>O136+O139</f>
        <v>2248.3999999999996</v>
      </c>
    </row>
    <row r="133" spans="1:20" ht="93.75" x14ac:dyDescent="0.2">
      <c r="A133" s="16" t="s">
        <v>9</v>
      </c>
      <c r="B133" s="4" t="s">
        <v>62</v>
      </c>
      <c r="C133" s="41">
        <f t="shared" ref="C133" si="4">C136/C132*C137+C139/C132*C140</f>
        <v>92.899130720792925</v>
      </c>
      <c r="D133" s="65">
        <f>D136/D132*D137+D139/D132*D140</f>
        <v>97.032517632073393</v>
      </c>
      <c r="E133" s="21">
        <f t="shared" ref="E133" si="5">E136/E132*E137+E139/E132*E140</f>
        <v>96.326757175226135</v>
      </c>
      <c r="F133" s="28">
        <f>F136/F132*F137+F139/F132*F140</f>
        <v>103.17295434593768</v>
      </c>
      <c r="G133" s="28">
        <f>G136/G132*G137+G139/G132*G140</f>
        <v>96.790101230744952</v>
      </c>
      <c r="H133" s="28">
        <f>H136/H132*H137+H139/H132*H140</f>
        <v>95.83396786737697</v>
      </c>
      <c r="I133" s="28">
        <f t="shared" ref="I133:O133" si="6">I136/I132*I137+I139/I132*I140</f>
        <v>96.451133574309182</v>
      </c>
      <c r="J133" s="28" t="e">
        <f t="shared" si="6"/>
        <v>#DIV/0!</v>
      </c>
      <c r="K133" s="28">
        <f t="shared" si="6"/>
        <v>96.502300556568812</v>
      </c>
      <c r="L133" s="28">
        <f t="shared" si="6"/>
        <v>96.528950532273512</v>
      </c>
      <c r="M133" s="28" t="e">
        <f t="shared" si="6"/>
        <v>#DIV/0!</v>
      </c>
      <c r="N133" s="28">
        <f t="shared" si="6"/>
        <v>97.323934828939343</v>
      </c>
      <c r="O133" s="28">
        <f t="shared" si="6"/>
        <v>97.660090975514194</v>
      </c>
    </row>
    <row r="134" spans="1:20" ht="56.25" x14ac:dyDescent="0.2">
      <c r="A134" s="16" t="s">
        <v>10</v>
      </c>
      <c r="B134" s="4" t="s">
        <v>139</v>
      </c>
      <c r="C134" s="21">
        <v>103.7</v>
      </c>
      <c r="D134" s="73">
        <v>105</v>
      </c>
      <c r="E134" s="30">
        <v>103.6</v>
      </c>
      <c r="F134" s="30">
        <v>109.8</v>
      </c>
      <c r="G134" s="30">
        <v>104.2</v>
      </c>
      <c r="H134" s="30">
        <v>104.7</v>
      </c>
      <c r="I134" s="30">
        <v>104.5</v>
      </c>
      <c r="J134" s="30"/>
      <c r="K134" s="30">
        <v>104.2</v>
      </c>
      <c r="L134" s="30">
        <v>104.1</v>
      </c>
      <c r="M134" s="30"/>
      <c r="N134" s="30">
        <v>104.2</v>
      </c>
      <c r="O134" s="30">
        <v>104.1</v>
      </c>
    </row>
    <row r="135" spans="1:20" ht="37.5" x14ac:dyDescent="0.2">
      <c r="A135" s="16" t="s">
        <v>11</v>
      </c>
      <c r="B135" s="4"/>
      <c r="C135" s="21"/>
      <c r="D135" s="81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21"/>
    </row>
    <row r="136" spans="1:20" ht="18.75" x14ac:dyDescent="0.2">
      <c r="A136" s="10" t="s">
        <v>12</v>
      </c>
      <c r="B136" s="4" t="s">
        <v>13</v>
      </c>
      <c r="C136" s="49">
        <v>583.70000000000005</v>
      </c>
      <c r="D136" s="82">
        <v>596.1</v>
      </c>
      <c r="E136" s="44">
        <v>605.1</v>
      </c>
      <c r="F136" s="44">
        <v>653.6</v>
      </c>
      <c r="G136" s="44">
        <v>665.5</v>
      </c>
      <c r="H136" s="45">
        <v>672.3</v>
      </c>
      <c r="I136" s="45">
        <v>674.5</v>
      </c>
      <c r="J136" s="44"/>
      <c r="K136" s="45">
        <v>677.4</v>
      </c>
      <c r="L136" s="45">
        <v>681</v>
      </c>
      <c r="M136" s="45"/>
      <c r="N136" s="45">
        <v>683.3</v>
      </c>
      <c r="O136" s="45">
        <v>688.3</v>
      </c>
    </row>
    <row r="137" spans="1:20" ht="93.75" x14ac:dyDescent="0.2">
      <c r="A137" s="16" t="s">
        <v>14</v>
      </c>
      <c r="B137" s="4" t="s">
        <v>62</v>
      </c>
      <c r="C137" s="21">
        <f>C136/459.8/C138*10000</f>
        <v>122.41706699864895</v>
      </c>
      <c r="D137" s="65">
        <f>D136/C136/D138*10000</f>
        <v>97.261313296948046</v>
      </c>
      <c r="E137" s="28">
        <f>E136/D136/E138*10000</f>
        <v>97.793654903306958</v>
      </c>
      <c r="F137" s="28">
        <f>F136/E136/F138*10000</f>
        <v>97.398741297111016</v>
      </c>
      <c r="G137" s="28">
        <f>G136/F136/G138*10000</f>
        <v>96.695807630120157</v>
      </c>
      <c r="H137" s="28">
        <v>96.3</v>
      </c>
      <c r="I137" s="28">
        <v>96.8</v>
      </c>
      <c r="J137" s="28"/>
      <c r="K137" s="28">
        <v>96.8</v>
      </c>
      <c r="L137" s="28">
        <v>96.9</v>
      </c>
      <c r="M137" s="28"/>
      <c r="N137" s="28">
        <v>96.8</v>
      </c>
      <c r="O137" s="28">
        <v>97</v>
      </c>
      <c r="T137" s="113"/>
    </row>
    <row r="138" spans="1:20" ht="56.25" x14ac:dyDescent="0.2">
      <c r="A138" s="16" t="s">
        <v>15</v>
      </c>
      <c r="B138" s="4" t="s">
        <v>139</v>
      </c>
      <c r="C138" s="21">
        <v>103.7</v>
      </c>
      <c r="D138" s="73">
        <v>105</v>
      </c>
      <c r="E138" s="30">
        <v>103.8</v>
      </c>
      <c r="F138" s="30">
        <v>110.9</v>
      </c>
      <c r="G138" s="30">
        <v>105.3</v>
      </c>
      <c r="H138" s="30">
        <v>104.9</v>
      </c>
      <c r="I138" s="30">
        <v>104.7</v>
      </c>
      <c r="J138" s="30"/>
      <c r="K138" s="30">
        <v>104.1</v>
      </c>
      <c r="L138" s="30">
        <v>104.2</v>
      </c>
      <c r="M138" s="30"/>
      <c r="N138" s="30">
        <v>104.2</v>
      </c>
      <c r="O138" s="30">
        <v>104.2</v>
      </c>
    </row>
    <row r="139" spans="1:20" ht="18.75" x14ac:dyDescent="0.2">
      <c r="A139" s="10" t="s">
        <v>16</v>
      </c>
      <c r="B139" s="4" t="s">
        <v>13</v>
      </c>
      <c r="C139" s="49">
        <v>1300.7</v>
      </c>
      <c r="D139" s="82">
        <v>1323.8</v>
      </c>
      <c r="E139" s="44">
        <v>1311.8</v>
      </c>
      <c r="F139" s="44">
        <v>1512.3</v>
      </c>
      <c r="G139" s="44">
        <v>1517.1</v>
      </c>
      <c r="H139" s="44">
        <v>1517.5</v>
      </c>
      <c r="I139" s="44">
        <v>1525.2</v>
      </c>
      <c r="J139" s="44"/>
      <c r="K139" s="44">
        <v>1525.3</v>
      </c>
      <c r="L139" s="44">
        <v>1530</v>
      </c>
      <c r="M139" s="44"/>
      <c r="N139" s="44">
        <v>1550.5</v>
      </c>
      <c r="O139" s="44">
        <v>1560.1</v>
      </c>
    </row>
    <row r="140" spans="1:20" ht="93.75" x14ac:dyDescent="0.2">
      <c r="A140" s="16" t="s">
        <v>17</v>
      </c>
      <c r="B140" s="4" t="s">
        <v>62</v>
      </c>
      <c r="C140" s="21">
        <f>C139/1574.7/C141*10000</f>
        <v>79.652710020105161</v>
      </c>
      <c r="D140" s="65">
        <f>D139/C139/D141*10000</f>
        <v>96.929492178204399</v>
      </c>
      <c r="E140" s="21">
        <f>E139/D139/E141*10000</f>
        <v>95.650114535142492</v>
      </c>
      <c r="F140" s="28">
        <f>F139/E139/F141*10000</f>
        <v>105.66850790588818</v>
      </c>
      <c r="G140" s="28">
        <f>G139/F139/G141*10000</f>
        <v>96.831464615634417</v>
      </c>
      <c r="H140" s="28">
        <f>H139/G139/H141*10000</f>
        <v>95.627501045128255</v>
      </c>
      <c r="I140" s="28">
        <f>I139/G139/I141*10000</f>
        <v>96.296851903624372</v>
      </c>
      <c r="J140" s="28"/>
      <c r="K140" s="28">
        <f>K139/H139/K141*10000</f>
        <v>96.370089448602982</v>
      </c>
      <c r="L140" s="28">
        <f>L139/I139/L141*10000</f>
        <v>96.363797141736413</v>
      </c>
      <c r="M140" s="28"/>
      <c r="N140" s="28">
        <f>N139/K139/N141*10000</f>
        <v>97.554831100215893</v>
      </c>
      <c r="O140" s="28">
        <f>O139/L139/O141*10000</f>
        <v>97.951316293408183</v>
      </c>
    </row>
    <row r="141" spans="1:20" ht="56.25" x14ac:dyDescent="0.2">
      <c r="A141" s="16" t="s">
        <v>18</v>
      </c>
      <c r="B141" s="4" t="s">
        <v>139</v>
      </c>
      <c r="C141" s="21">
        <v>103.7</v>
      </c>
      <c r="D141" s="73">
        <v>105</v>
      </c>
      <c r="E141" s="30">
        <v>103.6</v>
      </c>
      <c r="F141" s="30">
        <v>109.1</v>
      </c>
      <c r="G141" s="30">
        <v>103.6</v>
      </c>
      <c r="H141" s="30">
        <v>104.6</v>
      </c>
      <c r="I141" s="30">
        <v>104.4</v>
      </c>
      <c r="J141" s="30"/>
      <c r="K141" s="30">
        <v>104.3</v>
      </c>
      <c r="L141" s="30">
        <v>104.1</v>
      </c>
      <c r="M141" s="30"/>
      <c r="N141" s="30">
        <v>104.2</v>
      </c>
      <c r="O141" s="30">
        <v>104.1</v>
      </c>
    </row>
    <row r="142" spans="1:20" ht="37.5" x14ac:dyDescent="0.2">
      <c r="A142" s="10" t="s">
        <v>309</v>
      </c>
      <c r="B142" s="4"/>
      <c r="C142" s="5"/>
      <c r="D142" s="80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20" ht="18.75" x14ac:dyDescent="0.2">
      <c r="A143" s="16" t="s">
        <v>276</v>
      </c>
      <c r="B143" s="4" t="s">
        <v>21</v>
      </c>
      <c r="C143" s="5">
        <v>1.72</v>
      </c>
      <c r="D143" s="72">
        <v>2.08</v>
      </c>
      <c r="E143" s="5">
        <v>3.66</v>
      </c>
      <c r="F143" s="5">
        <v>1.6</v>
      </c>
      <c r="G143" s="5">
        <v>1.65</v>
      </c>
      <c r="H143" s="5">
        <v>1.6</v>
      </c>
      <c r="I143" s="5">
        <v>1.7</v>
      </c>
      <c r="J143" s="5"/>
      <c r="K143" s="5">
        <v>1.7</v>
      </c>
      <c r="L143" s="5">
        <v>1.8</v>
      </c>
      <c r="M143" s="5"/>
      <c r="N143" s="5">
        <v>1.8</v>
      </c>
      <c r="O143" s="5">
        <v>1.9</v>
      </c>
    </row>
    <row r="144" spans="1:20" ht="18.75" x14ac:dyDescent="0.2">
      <c r="A144" s="16" t="s">
        <v>293</v>
      </c>
      <c r="B144" s="4" t="s">
        <v>21</v>
      </c>
      <c r="C144" s="5"/>
      <c r="D144" s="72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ht="18.75" x14ac:dyDescent="0.2">
      <c r="A145" s="16" t="s">
        <v>277</v>
      </c>
      <c r="B145" s="4" t="s">
        <v>21</v>
      </c>
      <c r="C145" s="5"/>
      <c r="D145" s="72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ht="18.75" x14ac:dyDescent="0.2">
      <c r="A146" s="16" t="s">
        <v>268</v>
      </c>
      <c r="B146" s="4" t="s">
        <v>21</v>
      </c>
      <c r="C146" s="5"/>
      <c r="D146" s="72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ht="18.75" x14ac:dyDescent="0.2">
      <c r="A147" s="16" t="s">
        <v>267</v>
      </c>
      <c r="B147" s="4" t="s">
        <v>21</v>
      </c>
      <c r="C147" s="5">
        <v>12.2</v>
      </c>
      <c r="D147" s="72">
        <v>11.42</v>
      </c>
      <c r="E147" s="5">
        <v>10.43</v>
      </c>
      <c r="F147" s="116">
        <v>10.428000000000001</v>
      </c>
      <c r="G147" s="5">
        <v>10.5</v>
      </c>
      <c r="H147" s="5">
        <v>10.5</v>
      </c>
      <c r="I147" s="5">
        <v>10.6</v>
      </c>
      <c r="J147" s="5"/>
      <c r="K147" s="5">
        <v>10.7</v>
      </c>
      <c r="L147" s="5">
        <v>11</v>
      </c>
      <c r="M147" s="5"/>
      <c r="N147" s="5">
        <v>11</v>
      </c>
      <c r="O147" s="5">
        <v>11.1</v>
      </c>
    </row>
    <row r="148" spans="1:15" ht="18.75" x14ac:dyDescent="0.2">
      <c r="A148" s="16" t="s">
        <v>294</v>
      </c>
      <c r="B148" s="4" t="s">
        <v>21</v>
      </c>
      <c r="C148" s="5">
        <v>10.7</v>
      </c>
      <c r="D148" s="72">
        <v>10</v>
      </c>
      <c r="E148" s="5">
        <v>10.72</v>
      </c>
      <c r="F148" s="5">
        <v>11.6</v>
      </c>
      <c r="G148" s="5">
        <v>11.8</v>
      </c>
      <c r="H148" s="5">
        <v>11.8</v>
      </c>
      <c r="I148" s="5">
        <v>11.9</v>
      </c>
      <c r="J148" s="5"/>
      <c r="K148" s="5">
        <v>12</v>
      </c>
      <c r="L148" s="5">
        <v>12.1</v>
      </c>
      <c r="M148" s="5"/>
      <c r="N148" s="5">
        <v>12.1</v>
      </c>
      <c r="O148" s="5">
        <v>12.2</v>
      </c>
    </row>
    <row r="149" spans="1:15" ht="18.75" x14ac:dyDescent="0.2">
      <c r="A149" s="16" t="s">
        <v>22</v>
      </c>
      <c r="B149" s="4" t="s">
        <v>21</v>
      </c>
      <c r="C149" s="5">
        <v>5.4</v>
      </c>
      <c r="D149" s="72">
        <v>5.6</v>
      </c>
      <c r="E149" s="5">
        <v>5.4</v>
      </c>
      <c r="F149" s="5">
        <v>5.26</v>
      </c>
      <c r="G149" s="5">
        <v>5.3</v>
      </c>
      <c r="H149" s="5">
        <v>5.3</v>
      </c>
      <c r="I149" s="5">
        <v>5.4</v>
      </c>
      <c r="J149" s="5"/>
      <c r="K149" s="5">
        <v>5.4</v>
      </c>
      <c r="L149" s="5">
        <v>5.5</v>
      </c>
      <c r="M149" s="5"/>
      <c r="N149" s="5">
        <v>5.5</v>
      </c>
      <c r="O149" s="5">
        <v>5.6</v>
      </c>
    </row>
    <row r="150" spans="1:15" ht="18.75" x14ac:dyDescent="0.2">
      <c r="A150" s="16" t="s">
        <v>23</v>
      </c>
      <c r="B150" s="4" t="s">
        <v>21</v>
      </c>
      <c r="C150" s="5">
        <v>12.3</v>
      </c>
      <c r="D150" s="72">
        <v>11.5</v>
      </c>
      <c r="E150" s="5">
        <v>10.55</v>
      </c>
      <c r="F150" s="5">
        <v>10.67</v>
      </c>
      <c r="G150" s="5">
        <v>10.7</v>
      </c>
      <c r="H150" s="5">
        <v>10.8</v>
      </c>
      <c r="I150" s="5">
        <v>10.9</v>
      </c>
      <c r="J150" s="5"/>
      <c r="K150" s="5">
        <v>10.9</v>
      </c>
      <c r="L150" s="5">
        <v>11</v>
      </c>
      <c r="M150" s="5"/>
      <c r="N150" s="5">
        <v>11</v>
      </c>
      <c r="O150" s="5">
        <v>11.2</v>
      </c>
    </row>
    <row r="151" spans="1:15" ht="18.75" x14ac:dyDescent="0.2">
      <c r="A151" s="16" t="s">
        <v>24</v>
      </c>
      <c r="B151" s="4" t="s">
        <v>25</v>
      </c>
      <c r="C151" s="5">
        <v>69.400000000000006</v>
      </c>
      <c r="D151" s="72">
        <v>68.3</v>
      </c>
      <c r="E151" s="30">
        <v>67.599999999999994</v>
      </c>
      <c r="F151" s="30">
        <v>68.7</v>
      </c>
      <c r="G151" s="5">
        <v>68.8</v>
      </c>
      <c r="H151" s="5">
        <v>68.8</v>
      </c>
      <c r="I151" s="5">
        <v>68.900000000000006</v>
      </c>
      <c r="J151" s="5"/>
      <c r="K151" s="5">
        <v>68.900000000000006</v>
      </c>
      <c r="L151" s="5">
        <v>69</v>
      </c>
      <c r="M151" s="5"/>
      <c r="N151" s="5">
        <v>69</v>
      </c>
      <c r="O151" s="5">
        <v>69.099999999999994</v>
      </c>
    </row>
    <row r="152" spans="1:15" ht="18.75" x14ac:dyDescent="0.2">
      <c r="A152" s="16" t="s">
        <v>269</v>
      </c>
      <c r="B152" s="4" t="s">
        <v>26</v>
      </c>
      <c r="C152" s="20"/>
      <c r="D152" s="74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</row>
    <row r="153" spans="1:15" ht="18.75" x14ac:dyDescent="0.2">
      <c r="A153" s="16" t="s">
        <v>27</v>
      </c>
      <c r="B153" s="4" t="s">
        <v>28</v>
      </c>
      <c r="C153" s="4"/>
      <c r="D153" s="71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</row>
    <row r="154" spans="1:15" ht="18.75" x14ac:dyDescent="0.2">
      <c r="A154" s="16" t="s">
        <v>288</v>
      </c>
      <c r="B154" s="4" t="s">
        <v>21</v>
      </c>
      <c r="C154" s="4"/>
      <c r="D154" s="71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</row>
    <row r="155" spans="1:15" ht="18.75" x14ac:dyDescent="0.2">
      <c r="A155" s="16" t="s">
        <v>29</v>
      </c>
      <c r="B155" s="4" t="s">
        <v>30</v>
      </c>
      <c r="C155" s="4"/>
      <c r="D155" s="71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</row>
    <row r="156" spans="1:15" ht="93.75" x14ac:dyDescent="0.2">
      <c r="A156" s="16" t="s">
        <v>270</v>
      </c>
      <c r="B156" s="4" t="s">
        <v>21</v>
      </c>
      <c r="C156" s="4"/>
      <c r="D156" s="71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</row>
    <row r="157" spans="1:15" ht="18.75" x14ac:dyDescent="0.2">
      <c r="A157" s="16" t="s">
        <v>31</v>
      </c>
      <c r="B157" s="4" t="s">
        <v>21</v>
      </c>
      <c r="C157" s="4"/>
      <c r="D157" s="8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56.25" x14ac:dyDescent="0.2">
      <c r="A158" s="16" t="s">
        <v>271</v>
      </c>
      <c r="B158" s="4" t="s">
        <v>21</v>
      </c>
      <c r="C158" s="4"/>
      <c r="D158" s="8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37.5" x14ac:dyDescent="0.2">
      <c r="A159" s="16" t="s">
        <v>272</v>
      </c>
      <c r="B159" s="4" t="s">
        <v>21</v>
      </c>
      <c r="C159" s="4"/>
      <c r="D159" s="8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37.5" x14ac:dyDescent="0.2">
      <c r="A160" s="16" t="s">
        <v>273</v>
      </c>
      <c r="B160" s="4" t="s">
        <v>21</v>
      </c>
      <c r="C160" s="4"/>
      <c r="D160" s="8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37.5" x14ac:dyDescent="0.2">
      <c r="A161" s="16" t="s">
        <v>278</v>
      </c>
      <c r="B161" s="4" t="s">
        <v>21</v>
      </c>
      <c r="C161" s="4"/>
      <c r="D161" s="8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37.5" x14ac:dyDescent="0.2">
      <c r="A162" s="36" t="s">
        <v>274</v>
      </c>
      <c r="B162" s="37" t="s">
        <v>32</v>
      </c>
      <c r="C162" s="4"/>
      <c r="D162" s="8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8.75" x14ac:dyDescent="0.2">
      <c r="A163" s="16" t="s">
        <v>33</v>
      </c>
      <c r="B163" s="4" t="s">
        <v>32</v>
      </c>
      <c r="C163" s="4"/>
      <c r="D163" s="8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8.75" x14ac:dyDescent="0.2">
      <c r="A164" s="16" t="s">
        <v>275</v>
      </c>
      <c r="B164" s="4" t="s">
        <v>32</v>
      </c>
      <c r="C164" s="4"/>
      <c r="D164" s="8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37.5" x14ac:dyDescent="0.2">
      <c r="A165" s="16" t="s">
        <v>280</v>
      </c>
      <c r="B165" s="4" t="s">
        <v>32</v>
      </c>
      <c r="C165" s="4"/>
      <c r="D165" s="8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8.75" x14ac:dyDescent="0.2">
      <c r="A166" s="16" t="s">
        <v>281</v>
      </c>
      <c r="B166" s="4" t="s">
        <v>32</v>
      </c>
      <c r="C166" s="4"/>
      <c r="D166" s="8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37.5" x14ac:dyDescent="0.2">
      <c r="A167" s="16" t="s">
        <v>279</v>
      </c>
      <c r="B167" s="4" t="s">
        <v>32</v>
      </c>
      <c r="C167" s="4"/>
      <c r="D167" s="8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56.25" x14ac:dyDescent="0.2">
      <c r="A168" s="16" t="s">
        <v>287</v>
      </c>
      <c r="B168" s="4" t="s">
        <v>32</v>
      </c>
      <c r="C168" s="4"/>
      <c r="D168" s="8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8.75" x14ac:dyDescent="0.2">
      <c r="A169" s="16" t="s">
        <v>282</v>
      </c>
      <c r="B169" s="4" t="s">
        <v>34</v>
      </c>
      <c r="C169" s="4"/>
      <c r="D169" s="8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8.75" x14ac:dyDescent="0.2">
      <c r="A170" s="16" t="s">
        <v>283</v>
      </c>
      <c r="B170" s="4" t="s">
        <v>25</v>
      </c>
      <c r="C170" s="4"/>
      <c r="D170" s="8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8.75" x14ac:dyDescent="0.2">
      <c r="A171" s="16" t="s">
        <v>35</v>
      </c>
      <c r="B171" s="4" t="s">
        <v>36</v>
      </c>
      <c r="C171" s="4"/>
      <c r="D171" s="8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75.599999999999994" customHeight="1" x14ac:dyDescent="0.2">
      <c r="A172" s="38" t="s">
        <v>292</v>
      </c>
      <c r="B172" s="4" t="s">
        <v>26</v>
      </c>
      <c r="C172" s="4"/>
      <c r="D172" s="8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8.75" x14ac:dyDescent="0.2">
      <c r="A173" s="16" t="s">
        <v>37</v>
      </c>
      <c r="B173" s="4" t="s">
        <v>21</v>
      </c>
      <c r="C173" s="4"/>
      <c r="D173" s="8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8.75" x14ac:dyDescent="0.2">
      <c r="A174" s="16" t="s">
        <v>38</v>
      </c>
      <c r="B174" s="4" t="s">
        <v>28</v>
      </c>
      <c r="C174" s="4"/>
      <c r="D174" s="8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8.75" x14ac:dyDescent="0.2">
      <c r="A175" s="16" t="s">
        <v>39</v>
      </c>
      <c r="B175" s="4" t="s">
        <v>28</v>
      </c>
      <c r="C175" s="4"/>
      <c r="D175" s="8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18.75" x14ac:dyDescent="0.2">
      <c r="A176" s="16" t="s">
        <v>40</v>
      </c>
      <c r="B176" s="4" t="s">
        <v>21</v>
      </c>
      <c r="C176" s="4"/>
      <c r="D176" s="8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8.75" x14ac:dyDescent="0.2">
      <c r="A177" s="16" t="s">
        <v>41</v>
      </c>
      <c r="B177" s="4" t="s">
        <v>28</v>
      </c>
      <c r="C177" s="4"/>
      <c r="D177" s="8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43.5" customHeight="1" x14ac:dyDescent="0.2">
      <c r="A178" s="38" t="s">
        <v>289</v>
      </c>
      <c r="B178" s="4" t="s">
        <v>42</v>
      </c>
      <c r="C178" s="4"/>
      <c r="D178" s="8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8.75" x14ac:dyDescent="0.2">
      <c r="A179" s="16" t="s">
        <v>43</v>
      </c>
      <c r="B179" s="4" t="s">
        <v>44</v>
      </c>
      <c r="C179" s="4"/>
      <c r="D179" s="8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36" customHeight="1" x14ac:dyDescent="0.2">
      <c r="A180" s="38" t="s">
        <v>290</v>
      </c>
      <c r="B180" s="4" t="s">
        <v>21</v>
      </c>
      <c r="C180" s="4"/>
      <c r="D180" s="8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56.25" x14ac:dyDescent="0.2">
      <c r="A181" s="17" t="s">
        <v>45</v>
      </c>
      <c r="B181" s="4" t="s">
        <v>46</v>
      </c>
      <c r="C181" s="4"/>
      <c r="D181" s="8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8.75" x14ac:dyDescent="0.2">
      <c r="A182" s="16" t="s">
        <v>291</v>
      </c>
      <c r="B182" s="4" t="s">
        <v>28</v>
      </c>
      <c r="C182" s="4"/>
      <c r="D182" s="8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8.75" x14ac:dyDescent="0.2">
      <c r="A183" s="17" t="s">
        <v>284</v>
      </c>
      <c r="B183" s="4" t="s">
        <v>20</v>
      </c>
      <c r="C183" s="4"/>
      <c r="D183" s="8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75" x14ac:dyDescent="0.2">
      <c r="A184" s="17" t="s">
        <v>285</v>
      </c>
      <c r="B184" s="4" t="s">
        <v>47</v>
      </c>
      <c r="C184" s="4"/>
      <c r="D184" s="8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8.75" x14ac:dyDescent="0.2">
      <c r="A185" s="16" t="s">
        <v>48</v>
      </c>
      <c r="B185" s="4" t="s">
        <v>47</v>
      </c>
      <c r="C185" s="4"/>
      <c r="D185" s="8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8.75" x14ac:dyDescent="0.2">
      <c r="A186" s="16" t="s">
        <v>286</v>
      </c>
      <c r="B186" s="4" t="s">
        <v>49</v>
      </c>
      <c r="C186" s="4"/>
      <c r="D186" s="8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8.75" x14ac:dyDescent="0.2">
      <c r="A187" s="16" t="s">
        <v>50</v>
      </c>
      <c r="B187" s="4" t="s">
        <v>47</v>
      </c>
      <c r="C187" s="4"/>
      <c r="D187" s="8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8.75" x14ac:dyDescent="0.2">
      <c r="A188" s="16" t="s">
        <v>51</v>
      </c>
      <c r="B188" s="4" t="s">
        <v>47</v>
      </c>
      <c r="C188" s="4"/>
      <c r="D188" s="8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8.75" x14ac:dyDescent="0.2">
      <c r="A189" s="16" t="s">
        <v>52</v>
      </c>
      <c r="B189" s="4" t="s">
        <v>53</v>
      </c>
      <c r="C189" s="4"/>
      <c r="D189" s="8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8.75" x14ac:dyDescent="0.2">
      <c r="A190" s="16" t="s">
        <v>54</v>
      </c>
      <c r="B190" s="4"/>
      <c r="C190" s="4"/>
      <c r="D190" s="8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8.75" x14ac:dyDescent="0.2">
      <c r="A191" s="16" t="s">
        <v>55</v>
      </c>
      <c r="B191" s="4" t="s">
        <v>53</v>
      </c>
      <c r="C191" s="4"/>
      <c r="D191" s="8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8.75" x14ac:dyDescent="0.2">
      <c r="A192" s="16" t="s">
        <v>56</v>
      </c>
      <c r="B192" s="4" t="s">
        <v>53</v>
      </c>
      <c r="C192" s="4"/>
      <c r="D192" s="8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8.75" x14ac:dyDescent="0.2">
      <c r="A193" s="16" t="s">
        <v>57</v>
      </c>
      <c r="B193" s="4" t="s">
        <v>53</v>
      </c>
      <c r="C193" s="4"/>
      <c r="D193" s="8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8.75" x14ac:dyDescent="0.2">
      <c r="A194" s="10" t="s">
        <v>318</v>
      </c>
      <c r="B194" s="4"/>
      <c r="C194" s="8"/>
      <c r="D194" s="68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ht="75" x14ac:dyDescent="0.2">
      <c r="A195" s="16" t="s">
        <v>58</v>
      </c>
      <c r="B195" s="6" t="s">
        <v>60</v>
      </c>
      <c r="C195" s="5">
        <v>0</v>
      </c>
      <c r="D195" s="72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ht="93.75" x14ac:dyDescent="0.2">
      <c r="A196" s="16" t="s">
        <v>61</v>
      </c>
      <c r="B196" s="4" t="s">
        <v>62</v>
      </c>
      <c r="C196" s="5"/>
      <c r="D196" s="72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ht="56.25" x14ac:dyDescent="0.2">
      <c r="A197" s="16" t="s">
        <v>63</v>
      </c>
      <c r="B197" s="4" t="s">
        <v>139</v>
      </c>
      <c r="C197" s="5"/>
      <c r="D197" s="72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ht="56.25" x14ac:dyDescent="0.2">
      <c r="A198" s="17" t="s">
        <v>64</v>
      </c>
      <c r="B198" s="6" t="s">
        <v>65</v>
      </c>
      <c r="C198" s="5">
        <v>45.22</v>
      </c>
      <c r="D198" s="72">
        <v>45.56</v>
      </c>
      <c r="E198" s="21">
        <v>78.123000000000005</v>
      </c>
      <c r="F198" s="21">
        <v>58.98</v>
      </c>
      <c r="G198" s="21">
        <v>60.1</v>
      </c>
      <c r="H198" s="21">
        <v>60.1</v>
      </c>
      <c r="I198" s="21">
        <v>60.2</v>
      </c>
      <c r="J198" s="21"/>
      <c r="K198" s="21">
        <v>60.2</v>
      </c>
      <c r="L198" s="21">
        <v>60.3</v>
      </c>
      <c r="M198" s="21"/>
      <c r="N198" s="21">
        <v>60.3</v>
      </c>
      <c r="O198" s="21">
        <v>60.4</v>
      </c>
    </row>
    <row r="199" spans="1:15" ht="37.5" x14ac:dyDescent="0.2">
      <c r="A199" s="17" t="s">
        <v>66</v>
      </c>
      <c r="B199" s="6" t="s">
        <v>67</v>
      </c>
      <c r="C199" s="5">
        <v>100</v>
      </c>
      <c r="D199" s="72">
        <v>100</v>
      </c>
      <c r="E199" s="5">
        <v>100</v>
      </c>
      <c r="F199" s="5">
        <v>100</v>
      </c>
      <c r="G199" s="5">
        <v>100</v>
      </c>
      <c r="H199" s="5">
        <v>100</v>
      </c>
      <c r="I199" s="5">
        <v>100</v>
      </c>
      <c r="J199" s="5"/>
      <c r="K199" s="5">
        <v>100</v>
      </c>
      <c r="L199" s="5">
        <v>100</v>
      </c>
      <c r="M199" s="5"/>
      <c r="N199" s="5">
        <v>100</v>
      </c>
      <c r="O199" s="5">
        <v>100</v>
      </c>
    </row>
    <row r="200" spans="1:15" ht="18.75" x14ac:dyDescent="0.2">
      <c r="A200" s="10" t="s">
        <v>68</v>
      </c>
      <c r="B200" s="4"/>
      <c r="C200" s="5"/>
      <c r="D200" s="68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ht="39.75" customHeight="1" x14ac:dyDescent="0.2">
      <c r="A201" s="16" t="s">
        <v>69</v>
      </c>
      <c r="B201" s="4" t="s">
        <v>70</v>
      </c>
      <c r="C201" s="5">
        <v>105.9</v>
      </c>
      <c r="D201" s="68">
        <v>103.2</v>
      </c>
      <c r="E201" s="30">
        <v>106.4</v>
      </c>
      <c r="F201" s="30">
        <v>119.6</v>
      </c>
      <c r="G201" s="30">
        <v>105.2</v>
      </c>
      <c r="H201" s="30">
        <v>105.1</v>
      </c>
      <c r="I201" s="30">
        <v>105.1</v>
      </c>
      <c r="J201" s="30"/>
      <c r="K201" s="30">
        <v>104.1</v>
      </c>
      <c r="L201" s="30">
        <v>104.1</v>
      </c>
      <c r="M201" s="30"/>
      <c r="N201" s="30">
        <v>104.1</v>
      </c>
      <c r="O201" s="30">
        <v>104.1</v>
      </c>
    </row>
    <row r="202" spans="1:15" ht="75" x14ac:dyDescent="0.2">
      <c r="A202" s="12" t="s">
        <v>71</v>
      </c>
      <c r="B202" s="7" t="s">
        <v>60</v>
      </c>
      <c r="C202" s="42">
        <v>3006</v>
      </c>
      <c r="D202" s="66">
        <v>3089.1</v>
      </c>
      <c r="E202" s="44">
        <v>3404.4</v>
      </c>
      <c r="F202" s="44">
        <v>3499.6</v>
      </c>
      <c r="G202" s="44">
        <v>3668.7</v>
      </c>
      <c r="H202" s="45">
        <v>3855.8</v>
      </c>
      <c r="I202" s="44">
        <v>3955.7</v>
      </c>
      <c r="J202" s="44"/>
      <c r="K202" s="45">
        <v>4037.8</v>
      </c>
      <c r="L202" s="44">
        <v>4233</v>
      </c>
      <c r="M202" s="44"/>
      <c r="N202" s="45">
        <v>4232.5</v>
      </c>
      <c r="O202" s="44">
        <v>4538.7</v>
      </c>
    </row>
    <row r="203" spans="1:15" ht="44.25" customHeight="1" x14ac:dyDescent="0.2">
      <c r="A203" s="17" t="s">
        <v>329</v>
      </c>
      <c r="B203" s="7" t="s">
        <v>62</v>
      </c>
      <c r="C203" s="30">
        <f>C202/2768.7/C204*10000</f>
        <v>102.91071981529478</v>
      </c>
      <c r="D203" s="67">
        <f>D202/C202/D204*10000</f>
        <v>100.55232001749924</v>
      </c>
      <c r="E203" s="30">
        <f>E202/D202/E204*10000</f>
        <v>103.77293443119758</v>
      </c>
      <c r="F203" s="30">
        <f>F202/E202/F204*10000</f>
        <v>85.806662064942373</v>
      </c>
      <c r="G203" s="30">
        <f>G202/F202/G204*10000</f>
        <v>100.79998153635141</v>
      </c>
      <c r="H203" s="5">
        <v>100</v>
      </c>
      <c r="I203" s="30">
        <f>I202/G202/I204*10000</f>
        <v>102.20183370092353</v>
      </c>
      <c r="J203" s="5"/>
      <c r="K203" s="5">
        <v>100.5</v>
      </c>
      <c r="L203" s="30">
        <f>L202/I202/L204*10000</f>
        <v>102.59840582000788</v>
      </c>
      <c r="M203" s="5"/>
      <c r="N203" s="5">
        <v>100.5</v>
      </c>
      <c r="O203" s="30">
        <f>O202/L202/O204*10000</f>
        <v>102.80136959772993</v>
      </c>
    </row>
    <row r="204" spans="1:15" ht="38.25" customHeight="1" x14ac:dyDescent="0.2">
      <c r="A204" s="16" t="s">
        <v>72</v>
      </c>
      <c r="B204" s="4" t="s">
        <v>139</v>
      </c>
      <c r="C204" s="5">
        <v>105.5</v>
      </c>
      <c r="D204" s="68">
        <v>102.2</v>
      </c>
      <c r="E204" s="30">
        <v>106.2</v>
      </c>
      <c r="F204" s="30">
        <v>119.8</v>
      </c>
      <c r="G204" s="30">
        <v>104</v>
      </c>
      <c r="H204" s="30">
        <v>105.1</v>
      </c>
      <c r="I204" s="30">
        <v>105.5</v>
      </c>
      <c r="J204" s="30"/>
      <c r="K204" s="30">
        <v>104.2</v>
      </c>
      <c r="L204" s="30">
        <v>104.3</v>
      </c>
      <c r="M204" s="30"/>
      <c r="N204" s="30">
        <v>104.3</v>
      </c>
      <c r="O204" s="30">
        <v>104.3</v>
      </c>
    </row>
    <row r="205" spans="1:15" ht="18.75" x14ac:dyDescent="0.2">
      <c r="A205" s="10" t="s">
        <v>73</v>
      </c>
      <c r="B205" s="4" t="s">
        <v>151</v>
      </c>
      <c r="C205" s="5"/>
      <c r="D205" s="68">
        <v>1.1705000000000001</v>
      </c>
      <c r="E205" s="44">
        <v>0.87319999999999998</v>
      </c>
      <c r="F205" s="44">
        <v>2.8</v>
      </c>
      <c r="G205" s="44">
        <v>2.9</v>
      </c>
      <c r="H205" s="45">
        <v>3</v>
      </c>
      <c r="I205" s="44">
        <v>3.04</v>
      </c>
      <c r="J205" s="44"/>
      <c r="K205" s="45">
        <v>3.1</v>
      </c>
      <c r="L205" s="44">
        <v>3.15</v>
      </c>
      <c r="M205" s="44"/>
      <c r="N205" s="44">
        <v>3.25</v>
      </c>
      <c r="O205" s="44">
        <v>3.27</v>
      </c>
    </row>
    <row r="206" spans="1:15" ht="93.75" x14ac:dyDescent="0.2">
      <c r="A206" s="16" t="s">
        <v>73</v>
      </c>
      <c r="B206" s="4" t="s">
        <v>62</v>
      </c>
      <c r="C206" s="5"/>
      <c r="D206" s="68"/>
      <c r="E206" s="5">
        <f>E205/D205/E207*10000</f>
        <v>69.010728987074714</v>
      </c>
      <c r="F206" s="5">
        <f>F205/E205/F207*10000</f>
        <v>271.97594800130702</v>
      </c>
      <c r="G206" s="5">
        <f>G205/F205/G207*10000</f>
        <v>99.301465552664027</v>
      </c>
      <c r="H206" s="5">
        <v>99.3</v>
      </c>
      <c r="I206" s="30">
        <f>I205/G205/I207*10000</f>
        <v>99.362640954404313</v>
      </c>
      <c r="J206" s="5"/>
      <c r="K206" s="5">
        <v>99.4</v>
      </c>
      <c r="L206" s="30">
        <f>L205/I205/L207*10000</f>
        <v>99.537388138935242</v>
      </c>
      <c r="M206" s="5"/>
      <c r="N206" s="5">
        <v>99.5</v>
      </c>
      <c r="O206" s="30">
        <f>O205/L205/O207*10000</f>
        <v>99.720964274278415</v>
      </c>
    </row>
    <row r="207" spans="1:15" ht="112.5" x14ac:dyDescent="0.2">
      <c r="A207" s="16" t="s">
        <v>156</v>
      </c>
      <c r="B207" s="4" t="s">
        <v>70</v>
      </c>
      <c r="C207" s="5"/>
      <c r="D207" s="68"/>
      <c r="E207" s="5">
        <v>108.1</v>
      </c>
      <c r="F207" s="5">
        <v>117.9</v>
      </c>
      <c r="G207" s="5">
        <v>104.3</v>
      </c>
      <c r="H207" s="5">
        <v>104.3</v>
      </c>
      <c r="I207" s="5">
        <v>105.5</v>
      </c>
      <c r="J207" s="5"/>
      <c r="K207" s="5">
        <v>105.2</v>
      </c>
      <c r="L207" s="5">
        <v>104.1</v>
      </c>
      <c r="M207" s="5"/>
      <c r="N207" s="5">
        <v>104.1</v>
      </c>
      <c r="O207" s="21">
        <v>104.1</v>
      </c>
    </row>
    <row r="208" spans="1:15" ht="18.75" x14ac:dyDescent="0.2">
      <c r="A208" s="12" t="s">
        <v>74</v>
      </c>
      <c r="B208" s="7" t="s">
        <v>8</v>
      </c>
      <c r="C208" s="51">
        <v>308</v>
      </c>
      <c r="D208" s="84">
        <v>346.8</v>
      </c>
      <c r="E208" s="124">
        <v>482</v>
      </c>
      <c r="F208" s="124">
        <v>539.1</v>
      </c>
      <c r="G208" s="124">
        <v>602.6</v>
      </c>
      <c r="H208" s="125">
        <v>628.5</v>
      </c>
      <c r="I208" s="124">
        <v>646.70000000000005</v>
      </c>
      <c r="J208" s="124"/>
      <c r="K208" s="125">
        <v>658.8</v>
      </c>
      <c r="L208" s="124">
        <v>690.7</v>
      </c>
      <c r="M208" s="124"/>
      <c r="N208" s="125">
        <v>694</v>
      </c>
      <c r="O208" s="126">
        <v>738.4</v>
      </c>
    </row>
    <row r="209" spans="1:19" ht="93.75" x14ac:dyDescent="0.2">
      <c r="A209" s="17" t="s">
        <v>330</v>
      </c>
      <c r="B209" s="4" t="s">
        <v>62</v>
      </c>
      <c r="C209" s="30">
        <f>C208/289.6/C210*10000</f>
        <v>101.19276038080018</v>
      </c>
      <c r="D209" s="67">
        <f>D208/C208/D210*10000</f>
        <v>108.68475154189441</v>
      </c>
      <c r="E209" s="30">
        <f>E208/D208/E210*10000</f>
        <v>134.02604220541244</v>
      </c>
      <c r="F209" s="30">
        <f>F208/E208/F210*10000</f>
        <v>99.419087136929463</v>
      </c>
      <c r="G209" s="30">
        <f>G208/F208/G210*10000</f>
        <v>101.80226843700575</v>
      </c>
      <c r="H209" s="5">
        <v>100</v>
      </c>
      <c r="I209" s="30">
        <f>I208/G208/I210*10000</f>
        <v>102.40294601257149</v>
      </c>
      <c r="J209" s="5"/>
      <c r="K209" s="5">
        <v>100.5</v>
      </c>
      <c r="L209" s="30">
        <f>L208/I208/L210*10000</f>
        <v>102.30246456072</v>
      </c>
      <c r="M209" s="5"/>
      <c r="N209" s="5">
        <v>101</v>
      </c>
      <c r="O209" s="30">
        <f>O208/L208/O210*10000</f>
        <v>102.4004189208904</v>
      </c>
    </row>
    <row r="210" spans="1:19" ht="38.25" customHeight="1" x14ac:dyDescent="0.2">
      <c r="A210" s="16" t="s">
        <v>75</v>
      </c>
      <c r="B210" s="4" t="s">
        <v>139</v>
      </c>
      <c r="C210" s="5">
        <v>105.1</v>
      </c>
      <c r="D210" s="68">
        <v>103.6</v>
      </c>
      <c r="E210" s="30">
        <v>103.7</v>
      </c>
      <c r="F210" s="30">
        <v>112.5</v>
      </c>
      <c r="G210" s="30">
        <v>109.8</v>
      </c>
      <c r="H210" s="30">
        <v>104.3</v>
      </c>
      <c r="I210" s="30">
        <v>104.8</v>
      </c>
      <c r="J210" s="30"/>
      <c r="K210" s="30">
        <v>104.3</v>
      </c>
      <c r="L210" s="30">
        <v>104.4</v>
      </c>
      <c r="M210" s="30"/>
      <c r="N210" s="30">
        <v>104.3</v>
      </c>
      <c r="O210" s="30">
        <v>104.4</v>
      </c>
    </row>
    <row r="211" spans="1:19" ht="37.5" x14ac:dyDescent="0.2">
      <c r="A211" s="10" t="s">
        <v>297</v>
      </c>
      <c r="B211" s="4"/>
      <c r="C211" s="5"/>
      <c r="D211" s="68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21"/>
    </row>
    <row r="212" spans="1:19" ht="40.5" customHeight="1" x14ac:dyDescent="0.2">
      <c r="A212" s="16" t="s">
        <v>157</v>
      </c>
      <c r="B212" s="4" t="s">
        <v>76</v>
      </c>
      <c r="C212" s="52">
        <v>152</v>
      </c>
      <c r="D212" s="85">
        <v>155</v>
      </c>
      <c r="E212" s="127">
        <v>148</v>
      </c>
      <c r="F212" s="127">
        <v>163</v>
      </c>
      <c r="G212" s="127">
        <v>163</v>
      </c>
      <c r="H212" s="127">
        <v>158</v>
      </c>
      <c r="I212" s="127">
        <v>163</v>
      </c>
      <c r="J212" s="127"/>
      <c r="K212" s="127">
        <v>159</v>
      </c>
      <c r="L212" s="127">
        <v>165</v>
      </c>
      <c r="M212" s="127"/>
      <c r="N212" s="127">
        <v>159</v>
      </c>
      <c r="O212" s="127">
        <v>165</v>
      </c>
    </row>
    <row r="213" spans="1:19" ht="56.25" x14ac:dyDescent="0.2">
      <c r="A213" s="16" t="s">
        <v>159</v>
      </c>
      <c r="B213" s="6" t="s">
        <v>77</v>
      </c>
      <c r="C213" s="53"/>
      <c r="D213" s="86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</row>
    <row r="214" spans="1:19" ht="37.5" x14ac:dyDescent="0.2">
      <c r="A214" s="16" t="s">
        <v>158</v>
      </c>
      <c r="B214" s="4" t="s">
        <v>78</v>
      </c>
      <c r="C214" s="53"/>
      <c r="D214" s="87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</row>
    <row r="215" spans="1:19" ht="18.75" x14ac:dyDescent="0.2">
      <c r="A215" s="10" t="s">
        <v>298</v>
      </c>
      <c r="B215" s="4"/>
      <c r="C215" s="5"/>
      <c r="D215" s="68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9" ht="79.5" customHeight="1" x14ac:dyDescent="0.2">
      <c r="A216" s="17" t="s">
        <v>79</v>
      </c>
      <c r="B216" s="4" t="s">
        <v>60</v>
      </c>
      <c r="C216" s="5"/>
      <c r="D216" s="68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9" ht="47.25" customHeight="1" x14ac:dyDescent="0.2">
      <c r="A217" s="17" t="s">
        <v>80</v>
      </c>
      <c r="B217" s="4" t="s">
        <v>62</v>
      </c>
      <c r="C217" s="5"/>
      <c r="D217" s="68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9" ht="29.25" customHeight="1" x14ac:dyDescent="0.2">
      <c r="A218" s="16" t="s">
        <v>321</v>
      </c>
      <c r="B218" s="4" t="s">
        <v>139</v>
      </c>
      <c r="C218" s="5"/>
      <c r="D218" s="68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1:19" ht="93.75" x14ac:dyDescent="0.2">
      <c r="A219" s="10" t="s">
        <v>81</v>
      </c>
      <c r="B219" s="4" t="s">
        <v>151</v>
      </c>
      <c r="C219" s="40">
        <v>347.1</v>
      </c>
      <c r="D219" s="68">
        <f>D222</f>
        <v>541.90000000000009</v>
      </c>
      <c r="E219" s="45">
        <v>1408.7</v>
      </c>
      <c r="F219" s="45">
        <f>F222</f>
        <v>809.27499999999998</v>
      </c>
      <c r="G219" s="44">
        <f>G222</f>
        <v>815</v>
      </c>
      <c r="H219" s="44">
        <f t="shared" ref="H219:N219" si="7">H222</f>
        <v>416</v>
      </c>
      <c r="I219" s="44">
        <f t="shared" si="7"/>
        <v>451</v>
      </c>
      <c r="J219" s="44">
        <f t="shared" si="7"/>
        <v>0</v>
      </c>
      <c r="K219" s="44">
        <f>K222</f>
        <v>421</v>
      </c>
      <c r="L219" s="44">
        <f t="shared" si="7"/>
        <v>458</v>
      </c>
      <c r="M219" s="44">
        <f t="shared" si="7"/>
        <v>0</v>
      </c>
      <c r="N219" s="44">
        <f t="shared" si="7"/>
        <v>427</v>
      </c>
      <c r="O219" s="44">
        <f>O222</f>
        <v>465</v>
      </c>
    </row>
    <row r="220" spans="1:19" ht="93.75" x14ac:dyDescent="0.2">
      <c r="A220" s="16" t="s">
        <v>82</v>
      </c>
      <c r="B220" s="4" t="s">
        <v>62</v>
      </c>
      <c r="C220" s="30">
        <f>C219/360.5/C221*10000</f>
        <v>90.74735189501439</v>
      </c>
      <c r="D220" s="67">
        <f>D219/C219/D221*10000</f>
        <v>147.28505188543349</v>
      </c>
      <c r="E220" s="30">
        <f>E219/D219/E221*10000</f>
        <v>245.24123715647596</v>
      </c>
      <c r="F220" s="30">
        <f>F219/E219/F221*10000</f>
        <v>51.523189812443555</v>
      </c>
      <c r="G220" s="30">
        <f>G219/F219/G221*10000</f>
        <v>95.186600482975635</v>
      </c>
      <c r="H220" s="30">
        <f>H219/G219/H221*10000</f>
        <v>48.519909491707296</v>
      </c>
      <c r="I220" s="30">
        <f>I219/G219/I221*10000</f>
        <v>52.552158891627194</v>
      </c>
      <c r="J220" s="30"/>
      <c r="K220" s="30">
        <f>K219/H219/K221*10000</f>
        <v>96.751360494190337</v>
      </c>
      <c r="L220" s="30">
        <f>L219/I219/L221*10000</f>
        <v>96.900864914270244</v>
      </c>
      <c r="M220" s="30"/>
      <c r="N220" s="30">
        <f>N219/K219/N221*10000</f>
        <v>96.964797463927752</v>
      </c>
      <c r="O220" s="30">
        <f>O219/L219/O221*10000</f>
        <v>97.063464894336505</v>
      </c>
    </row>
    <row r="221" spans="1:19" ht="56.25" x14ac:dyDescent="0.2">
      <c r="A221" s="16" t="s">
        <v>321</v>
      </c>
      <c r="B221" s="4" t="s">
        <v>139</v>
      </c>
      <c r="C221" s="5">
        <v>106.1</v>
      </c>
      <c r="D221" s="68">
        <v>106</v>
      </c>
      <c r="E221" s="21">
        <v>106</v>
      </c>
      <c r="F221" s="21">
        <v>111.5</v>
      </c>
      <c r="G221" s="21">
        <v>105.8</v>
      </c>
      <c r="H221" s="21">
        <v>105.2</v>
      </c>
      <c r="I221" s="21">
        <v>105.3</v>
      </c>
      <c r="J221" s="21"/>
      <c r="K221" s="21">
        <v>104.6</v>
      </c>
      <c r="L221" s="21">
        <v>104.8</v>
      </c>
      <c r="M221" s="21"/>
      <c r="N221" s="21">
        <v>104.6</v>
      </c>
      <c r="O221" s="21">
        <v>104.6</v>
      </c>
    </row>
    <row r="222" spans="1:19" ht="93.75" customHeight="1" x14ac:dyDescent="0.2">
      <c r="A222" s="12" t="s">
        <v>83</v>
      </c>
      <c r="B222" s="4"/>
      <c r="C222" s="44">
        <f>C223+C224</f>
        <v>347.1</v>
      </c>
      <c r="D222" s="66">
        <f t="shared" ref="D222" si="8">D223+D224</f>
        <v>541.90000000000009</v>
      </c>
      <c r="E222" s="45">
        <f>E223+E224</f>
        <v>1408.7</v>
      </c>
      <c r="F222" s="45">
        <f>F223+F224</f>
        <v>809.27499999999998</v>
      </c>
      <c r="G222" s="45">
        <f t="shared" ref="G222:O222" si="9">G223+G224</f>
        <v>815</v>
      </c>
      <c r="H222" s="45">
        <f t="shared" si="9"/>
        <v>416</v>
      </c>
      <c r="I222" s="45">
        <f t="shared" si="9"/>
        <v>451</v>
      </c>
      <c r="J222" s="45">
        <f t="shared" si="9"/>
        <v>0</v>
      </c>
      <c r="K222" s="45">
        <f t="shared" si="9"/>
        <v>421</v>
      </c>
      <c r="L222" s="45">
        <f t="shared" si="9"/>
        <v>458</v>
      </c>
      <c r="M222" s="45">
        <f t="shared" si="9"/>
        <v>0</v>
      </c>
      <c r="N222" s="45">
        <f t="shared" si="9"/>
        <v>427</v>
      </c>
      <c r="O222" s="45">
        <f t="shared" si="9"/>
        <v>465</v>
      </c>
      <c r="S222" s="104"/>
    </row>
    <row r="223" spans="1:19" ht="18.75" x14ac:dyDescent="0.2">
      <c r="A223" s="17" t="s">
        <v>84</v>
      </c>
      <c r="B223" s="4" t="s">
        <v>85</v>
      </c>
      <c r="C223" s="5">
        <v>169.4</v>
      </c>
      <c r="D223" s="68">
        <v>168.8</v>
      </c>
      <c r="E223" s="30">
        <v>966.9</v>
      </c>
      <c r="F223" s="30">
        <v>126.812</v>
      </c>
      <c r="G223" s="30">
        <v>130</v>
      </c>
      <c r="H223" s="5">
        <v>126</v>
      </c>
      <c r="I223" s="5">
        <v>131</v>
      </c>
      <c r="J223" s="5">
        <f t="shared" ref="J223" si="10">J228</f>
        <v>0</v>
      </c>
      <c r="K223" s="5">
        <v>130</v>
      </c>
      <c r="L223" s="5">
        <v>132</v>
      </c>
      <c r="M223" s="5"/>
      <c r="N223" s="5">
        <v>132</v>
      </c>
      <c r="O223" s="5">
        <v>135</v>
      </c>
    </row>
    <row r="224" spans="1:19" ht="18.75" x14ac:dyDescent="0.2">
      <c r="A224" s="17" t="s">
        <v>312</v>
      </c>
      <c r="B224" s="4" t="s">
        <v>85</v>
      </c>
      <c r="C224" s="5">
        <v>177.7</v>
      </c>
      <c r="D224" s="68">
        <v>373.1</v>
      </c>
      <c r="E224" s="30">
        <v>441.8</v>
      </c>
      <c r="F224" s="30">
        <v>682.46299999999997</v>
      </c>
      <c r="G224" s="30">
        <v>685</v>
      </c>
      <c r="H224" s="5">
        <v>290</v>
      </c>
      <c r="I224" s="5">
        <v>320</v>
      </c>
      <c r="J224" s="5">
        <v>0</v>
      </c>
      <c r="K224" s="5">
        <v>291</v>
      </c>
      <c r="L224" s="5">
        <v>326</v>
      </c>
      <c r="M224" s="5"/>
      <c r="N224" s="5">
        <v>295</v>
      </c>
      <c r="O224" s="5">
        <v>330</v>
      </c>
    </row>
    <row r="225" spans="1:18" ht="18.75" x14ac:dyDescent="0.2">
      <c r="A225" s="16" t="s">
        <v>313</v>
      </c>
      <c r="B225" s="4" t="s">
        <v>85</v>
      </c>
      <c r="C225" s="4"/>
      <c r="D225" s="83" t="s">
        <v>92</v>
      </c>
      <c r="E225" s="129"/>
      <c r="F225" s="4"/>
      <c r="G225" s="129"/>
      <c r="H225" s="4"/>
      <c r="I225" s="4"/>
      <c r="J225" s="4"/>
      <c r="K225" s="4"/>
      <c r="L225" s="4"/>
      <c r="M225" s="4"/>
      <c r="N225" s="4"/>
      <c r="O225" s="4"/>
    </row>
    <row r="226" spans="1:18" ht="18.75" x14ac:dyDescent="0.2">
      <c r="A226" s="16" t="s">
        <v>314</v>
      </c>
      <c r="B226" s="4" t="s">
        <v>85</v>
      </c>
      <c r="C226" s="4"/>
      <c r="D226" s="83"/>
      <c r="E226" s="129"/>
      <c r="F226" s="4"/>
      <c r="G226" s="129"/>
      <c r="H226" s="4"/>
      <c r="I226" s="4"/>
      <c r="J226" s="4"/>
      <c r="K226" s="4"/>
      <c r="L226" s="4"/>
      <c r="M226" s="4"/>
      <c r="N226" s="4"/>
      <c r="O226" s="4"/>
    </row>
    <row r="227" spans="1:18" ht="18.75" x14ac:dyDescent="0.2">
      <c r="A227" s="16" t="s">
        <v>86</v>
      </c>
      <c r="B227" s="4" t="s">
        <v>85</v>
      </c>
      <c r="C227" s="4"/>
      <c r="D227" s="83"/>
      <c r="E227" s="129"/>
      <c r="F227" s="4"/>
      <c r="G227" s="129"/>
      <c r="H227" s="4"/>
      <c r="I227" s="4"/>
      <c r="J227" s="4"/>
      <c r="K227" s="4"/>
      <c r="L227" s="4"/>
      <c r="M227" s="4"/>
      <c r="N227" s="4"/>
      <c r="O227" s="4"/>
    </row>
    <row r="228" spans="1:18" ht="18.75" x14ac:dyDescent="0.2">
      <c r="A228" s="16" t="s">
        <v>87</v>
      </c>
      <c r="B228" s="4" t="s">
        <v>85</v>
      </c>
      <c r="C228" s="5">
        <f>C230+C231+C232</f>
        <v>89.8</v>
      </c>
      <c r="D228" s="68">
        <f t="shared" ref="D228:O228" si="11">D230+D231+D232</f>
        <v>325</v>
      </c>
      <c r="E228" s="30">
        <f t="shared" si="11"/>
        <v>93.5</v>
      </c>
      <c r="F228" s="30">
        <f t="shared" si="11"/>
        <v>576.774</v>
      </c>
      <c r="G228" s="30">
        <f>G230+G231+G232</f>
        <v>577.1</v>
      </c>
      <c r="H228" s="30">
        <f t="shared" si="11"/>
        <v>90.3</v>
      </c>
      <c r="I228" s="30">
        <f t="shared" si="11"/>
        <v>124.89999999999999</v>
      </c>
      <c r="J228" s="30">
        <f t="shared" si="11"/>
        <v>0</v>
      </c>
      <c r="K228" s="30">
        <f t="shared" si="11"/>
        <v>70.7</v>
      </c>
      <c r="L228" s="30">
        <f t="shared" si="11"/>
        <v>70.7</v>
      </c>
      <c r="M228" s="30">
        <f t="shared" si="11"/>
        <v>0</v>
      </c>
      <c r="N228" s="30">
        <f t="shared" si="11"/>
        <v>73.599999999999994</v>
      </c>
      <c r="O228" s="30">
        <f t="shared" si="11"/>
        <v>73.599999999999994</v>
      </c>
      <c r="R228" s="128"/>
    </row>
    <row r="229" spans="1:18" ht="18.75" x14ac:dyDescent="0.2">
      <c r="A229" s="16" t="s">
        <v>19</v>
      </c>
      <c r="B229" s="4"/>
      <c r="C229" s="5"/>
      <c r="D229" s="6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</row>
    <row r="230" spans="1:18" ht="18.75" x14ac:dyDescent="0.2">
      <c r="A230" s="17" t="s">
        <v>315</v>
      </c>
      <c r="B230" s="4" t="s">
        <v>85</v>
      </c>
      <c r="C230" s="5">
        <v>71.099999999999994</v>
      </c>
      <c r="D230" s="68">
        <v>246.7</v>
      </c>
      <c r="E230" s="30">
        <v>55.7</v>
      </c>
      <c r="F230" s="30">
        <v>325.43</v>
      </c>
      <c r="G230" s="30">
        <v>64.7</v>
      </c>
      <c r="H230" s="30">
        <v>26.5</v>
      </c>
      <c r="I230" s="30">
        <v>60.4</v>
      </c>
      <c r="J230" s="30"/>
      <c r="K230" s="30">
        <v>48.3</v>
      </c>
      <c r="L230" s="30">
        <f>1.9+46.4</f>
        <v>48.3</v>
      </c>
      <c r="M230" s="30"/>
      <c r="N230" s="30">
        <v>50.2</v>
      </c>
      <c r="O230" s="30">
        <v>50.2</v>
      </c>
    </row>
    <row r="231" spans="1:18" ht="18.75" x14ac:dyDescent="0.2">
      <c r="A231" s="17" t="s">
        <v>316</v>
      </c>
      <c r="B231" s="4" t="s">
        <v>85</v>
      </c>
      <c r="C231" s="5">
        <v>11.9</v>
      </c>
      <c r="D231" s="68">
        <v>62.7</v>
      </c>
      <c r="E231" s="30">
        <v>26.4</v>
      </c>
      <c r="F231" s="30">
        <v>156.88999999999999</v>
      </c>
      <c r="G231" s="30">
        <v>456.6</v>
      </c>
      <c r="H231" s="30">
        <v>62.8</v>
      </c>
      <c r="I231" s="30">
        <v>63.2</v>
      </c>
      <c r="J231" s="30"/>
      <c r="K231" s="30">
        <v>21.5</v>
      </c>
      <c r="L231" s="30">
        <f>6+15+0.5</f>
        <v>21.5</v>
      </c>
      <c r="M231" s="30"/>
      <c r="N231" s="30">
        <v>22.4</v>
      </c>
      <c r="O231" s="30">
        <v>22.4</v>
      </c>
    </row>
    <row r="232" spans="1:18" ht="18.75" x14ac:dyDescent="0.2">
      <c r="A232" s="17" t="s">
        <v>317</v>
      </c>
      <c r="B232" s="4" t="s">
        <v>85</v>
      </c>
      <c r="C232" s="5">
        <v>6.8</v>
      </c>
      <c r="D232" s="68">
        <v>15.6</v>
      </c>
      <c r="E232" s="30">
        <v>11.4</v>
      </c>
      <c r="F232" s="30">
        <v>94.453999999999994</v>
      </c>
      <c r="G232" s="30">
        <v>55.8</v>
      </c>
      <c r="H232" s="30">
        <v>1</v>
      </c>
      <c r="I232" s="30">
        <v>1.3</v>
      </c>
      <c r="J232" s="30"/>
      <c r="K232" s="30">
        <v>0.9</v>
      </c>
      <c r="L232" s="30">
        <f>0.5+0.2+0.2</f>
        <v>0.89999999999999991</v>
      </c>
      <c r="M232" s="30"/>
      <c r="N232" s="30">
        <v>1</v>
      </c>
      <c r="O232" s="30">
        <v>1</v>
      </c>
    </row>
    <row r="233" spans="1:18" ht="18.75" x14ac:dyDescent="0.2">
      <c r="A233" s="16" t="s">
        <v>88</v>
      </c>
      <c r="B233" s="4" t="s">
        <v>85</v>
      </c>
      <c r="C233" s="5"/>
      <c r="D233" s="68"/>
      <c r="E233" s="30"/>
      <c r="F233" s="30">
        <v>64.748000000000005</v>
      </c>
      <c r="G233" s="30">
        <v>0</v>
      </c>
      <c r="H233" s="30"/>
      <c r="I233" s="30">
        <v>0</v>
      </c>
      <c r="J233" s="30">
        <v>0</v>
      </c>
      <c r="K233" s="30"/>
      <c r="L233" s="30">
        <v>0</v>
      </c>
      <c r="M233" s="30"/>
      <c r="N233" s="30"/>
      <c r="O233" s="30"/>
    </row>
    <row r="234" spans="1:18" ht="57.75" customHeight="1" x14ac:dyDescent="0.2">
      <c r="A234" s="10" t="s">
        <v>299</v>
      </c>
      <c r="B234" s="11"/>
      <c r="C234" s="5"/>
      <c r="D234" s="68"/>
      <c r="E234" s="30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8" ht="18.75" x14ac:dyDescent="0.2">
      <c r="A235" s="12" t="s">
        <v>300</v>
      </c>
      <c r="B235" s="11" t="s">
        <v>8</v>
      </c>
      <c r="C235" s="44">
        <v>1357.6999999999998</v>
      </c>
      <c r="D235" s="75">
        <v>1929.4</v>
      </c>
      <c r="E235" s="45">
        <f>E237+E246+E247</f>
        <v>1979</v>
      </c>
      <c r="F235" s="44">
        <v>2498.28727617</v>
      </c>
      <c r="G235" s="44">
        <f t="shared" ref="G235:H235" si="12">G237+G246+G247</f>
        <v>2794.0729276500006</v>
      </c>
      <c r="H235" s="44">
        <f t="shared" si="12"/>
        <v>2012.7</v>
      </c>
      <c r="I235" s="44">
        <f t="shared" ref="I235:O235" si="13">I237+I246+I247</f>
        <v>2012.7</v>
      </c>
      <c r="J235" s="44">
        <f t="shared" si="13"/>
        <v>0</v>
      </c>
      <c r="K235" s="44">
        <f t="shared" ref="K235" si="14">K237+K246+K247</f>
        <v>2149</v>
      </c>
      <c r="L235" s="44">
        <f t="shared" si="13"/>
        <v>2149</v>
      </c>
      <c r="M235" s="44">
        <f t="shared" si="13"/>
        <v>0</v>
      </c>
      <c r="N235" s="44">
        <f t="shared" ref="N235" si="15">N237+N246+N247</f>
        <v>2186.3000000000002</v>
      </c>
      <c r="O235" s="44">
        <f t="shared" si="13"/>
        <v>2186.3000000000002</v>
      </c>
    </row>
    <row r="236" spans="1:18" ht="21.75" customHeight="1" x14ac:dyDescent="0.2">
      <c r="A236" s="15" t="s">
        <v>155</v>
      </c>
      <c r="B236" s="14" t="s">
        <v>89</v>
      </c>
      <c r="C236" s="5">
        <v>531.79999999999995</v>
      </c>
      <c r="D236" s="72">
        <v>616</v>
      </c>
      <c r="E236" s="30">
        <v>671.3</v>
      </c>
      <c r="F236" s="5">
        <v>736.2575124</v>
      </c>
      <c r="G236" s="5">
        <v>742.2</v>
      </c>
      <c r="H236" s="5">
        <v>756.8</v>
      </c>
      <c r="I236" s="5">
        <v>756.8</v>
      </c>
      <c r="J236" s="5"/>
      <c r="K236" s="5">
        <v>793.5</v>
      </c>
      <c r="L236" s="5">
        <v>793.5</v>
      </c>
      <c r="M236" s="5"/>
      <c r="N236" s="5">
        <v>830.8</v>
      </c>
      <c r="O236" s="5">
        <v>830.8</v>
      </c>
    </row>
    <row r="237" spans="1:18" ht="18.75" x14ac:dyDescent="0.2">
      <c r="A237" s="13" t="s">
        <v>301</v>
      </c>
      <c r="B237" s="14" t="s">
        <v>89</v>
      </c>
      <c r="C237" s="44">
        <v>391.1</v>
      </c>
      <c r="D237" s="75">
        <v>454.6</v>
      </c>
      <c r="E237" s="45">
        <v>506.4</v>
      </c>
      <c r="F237" s="44">
        <v>582.7696761200001</v>
      </c>
      <c r="G237" s="44">
        <f>463.9+47.3+32.2+52.7+7.1</f>
        <v>603.20000000000005</v>
      </c>
      <c r="H237" s="44">
        <f>491.3+50.9+32.5+52.9+7.2</f>
        <v>634.80000000000007</v>
      </c>
      <c r="I237" s="44">
        <f>491.3+50.9+32.5+52.9+7.2</f>
        <v>634.80000000000007</v>
      </c>
      <c r="J237" s="44"/>
      <c r="K237" s="44">
        <f>525.3+53.9+32.8+53.2+7.3</f>
        <v>672.49999999999989</v>
      </c>
      <c r="L237" s="44">
        <f>525.3+53.9+32.8+53.2+7.3</f>
        <v>672.49999999999989</v>
      </c>
      <c r="M237" s="44"/>
      <c r="N237" s="44">
        <f>561.3+53.8+33.3+53.4+7.4</f>
        <v>709.19999999999982</v>
      </c>
      <c r="O237" s="44">
        <f>561.3+53.8+33.3+53.4+7.4</f>
        <v>709.19999999999982</v>
      </c>
    </row>
    <row r="238" spans="1:18" ht="18.75" x14ac:dyDescent="0.2">
      <c r="A238" s="15" t="s">
        <v>19</v>
      </c>
      <c r="B238" s="14"/>
      <c r="C238" s="5"/>
      <c r="D238" s="72"/>
      <c r="E238" s="30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8" ht="18.75" x14ac:dyDescent="0.2">
      <c r="A239" s="15" t="s">
        <v>1</v>
      </c>
      <c r="B239" s="14" t="s">
        <v>89</v>
      </c>
      <c r="C239" s="5">
        <v>302.8</v>
      </c>
      <c r="D239" s="72">
        <v>362.3</v>
      </c>
      <c r="E239" s="30">
        <v>385.3</v>
      </c>
      <c r="F239" s="5">
        <v>435.72767018999997</v>
      </c>
      <c r="G239" s="5">
        <v>463.9</v>
      </c>
      <c r="H239" s="5">
        <v>491.3</v>
      </c>
      <c r="I239" s="5">
        <v>491.3</v>
      </c>
      <c r="J239" s="5"/>
      <c r="K239" s="5">
        <v>525.29999999999995</v>
      </c>
      <c r="L239" s="5">
        <v>525.29999999999995</v>
      </c>
      <c r="M239" s="5"/>
      <c r="N239" s="5">
        <v>561.29999999999995</v>
      </c>
      <c r="O239" s="5">
        <v>561.29999999999995</v>
      </c>
    </row>
    <row r="240" spans="1:18" ht="18.75" x14ac:dyDescent="0.2">
      <c r="A240" s="15" t="s">
        <v>59</v>
      </c>
      <c r="B240" s="14" t="s">
        <v>89</v>
      </c>
      <c r="C240" s="5">
        <v>37.700000000000003</v>
      </c>
      <c r="D240" s="72">
        <v>37.4</v>
      </c>
      <c r="E240" s="30">
        <v>43.1</v>
      </c>
      <c r="F240" s="5">
        <v>55.681584319999999</v>
      </c>
      <c r="G240" s="5">
        <v>47.3</v>
      </c>
      <c r="H240" s="5">
        <v>50.9</v>
      </c>
      <c r="I240" s="5">
        <v>50.9</v>
      </c>
      <c r="J240" s="5"/>
      <c r="K240" s="5">
        <v>53.9</v>
      </c>
      <c r="L240" s="5">
        <v>53.9</v>
      </c>
      <c r="M240" s="5"/>
      <c r="N240" s="5">
        <v>53.8</v>
      </c>
      <c r="O240" s="5">
        <v>53.8</v>
      </c>
    </row>
    <row r="241" spans="1:15" ht="37.5" x14ac:dyDescent="0.2">
      <c r="A241" s="15" t="s">
        <v>2</v>
      </c>
      <c r="B241" s="14" t="s">
        <v>89</v>
      </c>
      <c r="C241" s="5">
        <v>0</v>
      </c>
      <c r="D241" s="72">
        <v>0</v>
      </c>
      <c r="E241" s="30">
        <v>17.8</v>
      </c>
      <c r="F241" s="5">
        <v>24.975785100000003</v>
      </c>
      <c r="G241" s="5">
        <v>25.1</v>
      </c>
      <c r="H241" s="5">
        <v>25.2</v>
      </c>
      <c r="I241" s="5">
        <v>25.2</v>
      </c>
      <c r="J241" s="5"/>
      <c r="K241" s="5">
        <v>25.5</v>
      </c>
      <c r="L241" s="5">
        <v>25.5</v>
      </c>
      <c r="M241" s="5"/>
      <c r="N241" s="5">
        <v>25.7</v>
      </c>
      <c r="O241" s="5">
        <v>25.7</v>
      </c>
    </row>
    <row r="242" spans="1:15" ht="18" customHeight="1" x14ac:dyDescent="0.2">
      <c r="A242" s="15" t="s">
        <v>3</v>
      </c>
      <c r="B242" s="14" t="s">
        <v>89</v>
      </c>
      <c r="C242" s="5">
        <v>6.6</v>
      </c>
      <c r="D242" s="72">
        <v>9.6</v>
      </c>
      <c r="E242" s="30">
        <v>12</v>
      </c>
      <c r="F242" s="5">
        <v>12.159426289999999</v>
      </c>
      <c r="G242" s="5">
        <v>12.6</v>
      </c>
      <c r="H242" s="5">
        <v>12.6</v>
      </c>
      <c r="I242" s="5">
        <v>12.6</v>
      </c>
      <c r="J242" s="5"/>
      <c r="K242" s="5">
        <v>12.6</v>
      </c>
      <c r="L242" s="5">
        <v>12.6</v>
      </c>
      <c r="M242" s="5"/>
      <c r="N242" s="5">
        <v>12.6</v>
      </c>
      <c r="O242" s="5">
        <v>12.6</v>
      </c>
    </row>
    <row r="243" spans="1:15" ht="18.75" x14ac:dyDescent="0.2">
      <c r="A243" s="15" t="s">
        <v>4</v>
      </c>
      <c r="B243" s="14" t="s">
        <v>89</v>
      </c>
      <c r="C243" s="23">
        <v>0</v>
      </c>
      <c r="D243" s="88">
        <v>0</v>
      </c>
      <c r="E243" s="137">
        <v>0</v>
      </c>
      <c r="F243" s="5">
        <v>0</v>
      </c>
      <c r="G243" s="23">
        <v>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/>
      <c r="N243" s="23">
        <v>0</v>
      </c>
      <c r="O243" s="23">
        <v>0</v>
      </c>
    </row>
    <row r="244" spans="1:15" ht="18.75" x14ac:dyDescent="0.2">
      <c r="A244" s="15" t="s">
        <v>5</v>
      </c>
      <c r="B244" s="14" t="s">
        <v>89</v>
      </c>
      <c r="C244" s="5">
        <v>31.1</v>
      </c>
      <c r="D244" s="72">
        <v>32.9</v>
      </c>
      <c r="E244" s="30">
        <v>33.1</v>
      </c>
      <c r="F244" s="5">
        <v>40.18584791</v>
      </c>
      <c r="G244" s="5">
        <v>40.200000000000003</v>
      </c>
      <c r="H244" s="5">
        <v>40.299999999999997</v>
      </c>
      <c r="I244" s="5">
        <v>40.299999999999997</v>
      </c>
      <c r="J244" s="5"/>
      <c r="K244" s="5">
        <v>40.5</v>
      </c>
      <c r="L244" s="5">
        <v>40.5</v>
      </c>
      <c r="M244" s="5"/>
      <c r="N244" s="5">
        <v>40.799999999999997</v>
      </c>
      <c r="O244" s="5">
        <v>40.799999999999997</v>
      </c>
    </row>
    <row r="245" spans="1:15" ht="18.75" x14ac:dyDescent="0.2">
      <c r="A245" s="15" t="s">
        <v>322</v>
      </c>
      <c r="B245" s="14" t="s">
        <v>89</v>
      </c>
      <c r="C245" s="5">
        <v>5.9</v>
      </c>
      <c r="D245" s="72">
        <v>6.4</v>
      </c>
      <c r="E245" s="30">
        <v>6.4</v>
      </c>
      <c r="F245" s="5">
        <v>7.0030728399999997</v>
      </c>
      <c r="G245" s="5">
        <v>7.1</v>
      </c>
      <c r="H245" s="5">
        <v>7.2</v>
      </c>
      <c r="I245" s="5">
        <v>7.2</v>
      </c>
      <c r="J245" s="5"/>
      <c r="K245" s="5">
        <v>7.3</v>
      </c>
      <c r="L245" s="5">
        <v>7.3</v>
      </c>
      <c r="M245" s="5"/>
      <c r="N245" s="5">
        <v>7.4</v>
      </c>
      <c r="O245" s="5">
        <v>7.4</v>
      </c>
    </row>
    <row r="246" spans="1:15" ht="18.75" x14ac:dyDescent="0.2">
      <c r="A246" s="10" t="s">
        <v>6</v>
      </c>
      <c r="B246" s="11" t="s">
        <v>89</v>
      </c>
      <c r="C246" s="44">
        <v>140.69999999999999</v>
      </c>
      <c r="D246" s="75">
        <v>161.5</v>
      </c>
      <c r="E246" s="45">
        <f>E236-E237</f>
        <v>164.89999999999998</v>
      </c>
      <c r="F246" s="44">
        <f>F236-F237</f>
        <v>153.4878362799999</v>
      </c>
      <c r="G246" s="44">
        <f t="shared" ref="G246:O246" si="16">G236-G237</f>
        <v>139</v>
      </c>
      <c r="H246" s="44">
        <f t="shared" ref="H246" si="17">H236-H237</f>
        <v>121.99999999999989</v>
      </c>
      <c r="I246" s="44">
        <f t="shared" si="16"/>
        <v>121.99999999999989</v>
      </c>
      <c r="J246" s="44">
        <f t="shared" si="16"/>
        <v>0</v>
      </c>
      <c r="K246" s="44">
        <f t="shared" ref="K246" si="18">K236-K237</f>
        <v>121.00000000000011</v>
      </c>
      <c r="L246" s="44">
        <f t="shared" si="16"/>
        <v>121.00000000000011</v>
      </c>
      <c r="M246" s="44">
        <f t="shared" si="16"/>
        <v>0</v>
      </c>
      <c r="N246" s="44">
        <f t="shared" ref="N246" si="19">N236-N237</f>
        <v>121.60000000000014</v>
      </c>
      <c r="O246" s="44">
        <f t="shared" si="16"/>
        <v>121.60000000000014</v>
      </c>
    </row>
    <row r="247" spans="1:15" ht="18.75" x14ac:dyDescent="0.2">
      <c r="A247" s="10" t="s">
        <v>124</v>
      </c>
      <c r="B247" s="11" t="s">
        <v>89</v>
      </c>
      <c r="C247" s="44">
        <v>825.9</v>
      </c>
      <c r="D247" s="75">
        <v>1313.4</v>
      </c>
      <c r="E247" s="45">
        <v>1307.7</v>
      </c>
      <c r="F247" s="44">
        <v>1762.02976377</v>
      </c>
      <c r="G247" s="44">
        <v>2051.8729276500003</v>
      </c>
      <c r="H247" s="44">
        <f>191.9+1064</f>
        <v>1255.9000000000001</v>
      </c>
      <c r="I247" s="44">
        <f>191.9+1064</f>
        <v>1255.9000000000001</v>
      </c>
      <c r="J247" s="44"/>
      <c r="K247" s="44">
        <f>183.7+1171.8</f>
        <v>1355.5</v>
      </c>
      <c r="L247" s="44">
        <f>183.7+1171.8</f>
        <v>1355.5</v>
      </c>
      <c r="M247" s="44"/>
      <c r="N247" s="44">
        <f>183.7+1171.8</f>
        <v>1355.5</v>
      </c>
      <c r="O247" s="44">
        <f>183.7+1171.8</f>
        <v>1355.5</v>
      </c>
    </row>
    <row r="248" spans="1:15" ht="18.75" x14ac:dyDescent="0.2">
      <c r="A248" s="16" t="s">
        <v>19</v>
      </c>
      <c r="B248" s="11"/>
      <c r="C248" s="5"/>
      <c r="D248" s="80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ht="18.75" x14ac:dyDescent="0.2">
      <c r="A249" s="16" t="s">
        <v>302</v>
      </c>
      <c r="B249" s="11" t="s">
        <v>89</v>
      </c>
      <c r="C249" s="5">
        <v>153.30000000000001</v>
      </c>
      <c r="D249" s="72">
        <v>496.9</v>
      </c>
      <c r="E249" s="5">
        <v>217.5</v>
      </c>
      <c r="F249" s="5">
        <v>503.68436147000006</v>
      </c>
      <c r="G249" s="5">
        <v>800.85217160000002</v>
      </c>
      <c r="H249" s="5">
        <f>188.4+89.4</f>
        <v>277.8</v>
      </c>
      <c r="I249" s="5">
        <f>188.4+89.4</f>
        <v>277.8</v>
      </c>
      <c r="J249" s="5"/>
      <c r="K249" s="5">
        <f>180+82.8</f>
        <v>262.8</v>
      </c>
      <c r="L249" s="5">
        <f>180+82.8</f>
        <v>262.8</v>
      </c>
      <c r="M249" s="5"/>
      <c r="N249" s="5">
        <v>273.3</v>
      </c>
      <c r="O249" s="5">
        <v>273.3</v>
      </c>
    </row>
    <row r="250" spans="1:15" ht="18.75" x14ac:dyDescent="0.2">
      <c r="A250" s="16" t="s">
        <v>303</v>
      </c>
      <c r="B250" s="11" t="s">
        <v>89</v>
      </c>
      <c r="C250" s="5">
        <v>604.5</v>
      </c>
      <c r="D250" s="72">
        <v>741.3</v>
      </c>
      <c r="E250" s="5">
        <v>856.8</v>
      </c>
      <c r="F250" s="5">
        <v>887.90432913999996</v>
      </c>
      <c r="G250" s="5">
        <v>995.20566299999996</v>
      </c>
      <c r="H250" s="5">
        <f>3.5+881.5</f>
        <v>885</v>
      </c>
      <c r="I250" s="5">
        <f>3.5+881.5</f>
        <v>885</v>
      </c>
      <c r="J250" s="5"/>
      <c r="K250" s="5">
        <f>3.6+995.4</f>
        <v>999</v>
      </c>
      <c r="L250" s="5">
        <f>3.6+995.4</f>
        <v>999</v>
      </c>
      <c r="M250" s="5"/>
      <c r="N250" s="5">
        <v>1039</v>
      </c>
      <c r="O250" s="5">
        <v>1039</v>
      </c>
    </row>
    <row r="251" spans="1:15" ht="18.75" x14ac:dyDescent="0.2">
      <c r="A251" s="16" t="s">
        <v>304</v>
      </c>
      <c r="B251" s="11" t="s">
        <v>89</v>
      </c>
      <c r="C251" s="5">
        <v>50.2</v>
      </c>
      <c r="D251" s="72">
        <v>57.7</v>
      </c>
      <c r="E251" s="5">
        <v>180.3</v>
      </c>
      <c r="F251" s="5">
        <v>328.53899999999999</v>
      </c>
      <c r="G251" s="5">
        <v>206.71199999999999</v>
      </c>
      <c r="H251" s="5">
        <f>57.7</f>
        <v>57.7</v>
      </c>
      <c r="I251" s="5">
        <f>57.7</f>
        <v>57.7</v>
      </c>
      <c r="J251" s="5"/>
      <c r="K251" s="5">
        <v>58.2</v>
      </c>
      <c r="L251" s="5">
        <v>58.2</v>
      </c>
      <c r="M251" s="5"/>
      <c r="N251" s="5">
        <v>60.5</v>
      </c>
      <c r="O251" s="5">
        <v>60.5</v>
      </c>
    </row>
    <row r="252" spans="1:15" ht="18.75" x14ac:dyDescent="0.2">
      <c r="A252" s="16" t="s">
        <v>19</v>
      </c>
      <c r="B252" s="32"/>
      <c r="C252" s="5"/>
      <c r="D252" s="80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</row>
    <row r="253" spans="1:15" ht="37.5" x14ac:dyDescent="0.2">
      <c r="A253" s="16" t="s">
        <v>125</v>
      </c>
      <c r="B253" s="11" t="s">
        <v>89</v>
      </c>
      <c r="C253" s="5">
        <v>17.899999999999999</v>
      </c>
      <c r="D253" s="72">
        <v>40.5</v>
      </c>
      <c r="E253" s="5">
        <v>29.6</v>
      </c>
      <c r="F253" s="5">
        <v>40.01</v>
      </c>
      <c r="G253" s="5">
        <v>57.392000000000003</v>
      </c>
      <c r="H253" s="5">
        <v>57.7</v>
      </c>
      <c r="I253" s="5">
        <v>57.7</v>
      </c>
      <c r="J253" s="5"/>
      <c r="K253" s="5">
        <v>58.2</v>
      </c>
      <c r="L253" s="5">
        <v>58.2</v>
      </c>
      <c r="M253" s="5"/>
      <c r="N253" s="5">
        <v>60.5</v>
      </c>
      <c r="O253" s="5">
        <v>60.5</v>
      </c>
    </row>
    <row r="254" spans="1:15" ht="18.75" x14ac:dyDescent="0.2">
      <c r="A254" s="12" t="s">
        <v>305</v>
      </c>
      <c r="B254" s="11" t="s">
        <v>89</v>
      </c>
      <c r="C254" s="44">
        <v>1342.8</v>
      </c>
      <c r="D254" s="75">
        <v>1890.4</v>
      </c>
      <c r="E254" s="44">
        <f>E256+E257+E258+E259+E260+E262+E263+E265+E266+E267</f>
        <v>1927.7</v>
      </c>
      <c r="F254" s="44">
        <f>F256+F257+F258+F259+F260+F261+F262+F263+F265+F266+F267</f>
        <v>2427.8587568399998</v>
      </c>
      <c r="G254" s="44">
        <f t="shared" ref="G254:H254" si="20">G256+G257+G258+G259+G260+G261+G262+G263+G265+G266+G267</f>
        <v>2989.1184843700003</v>
      </c>
      <c r="H254" s="44">
        <f t="shared" si="20"/>
        <v>2012.7</v>
      </c>
      <c r="I254" s="44">
        <f t="shared" ref="I254:L254" si="21">I256+I257+I258+I259+I260+I261+I262+I263+I265+I266+I267</f>
        <v>2012.7</v>
      </c>
      <c r="J254" s="44">
        <f t="shared" si="21"/>
        <v>0</v>
      </c>
      <c r="K254" s="44">
        <f t="shared" ref="K254" si="22">K256+K257+K258+K259+K260+K261+K262+K263+K265+K266+K267</f>
        <v>2148.9999999999995</v>
      </c>
      <c r="L254" s="44">
        <f t="shared" si="21"/>
        <v>2148.9999999999995</v>
      </c>
      <c r="M254" s="44"/>
      <c r="N254" s="44">
        <f>N256+N257+N258+N259+N260+N262+N263+N265+N266+N267</f>
        <v>2186.2999999999997</v>
      </c>
      <c r="O254" s="44">
        <f>O256+O257+O258+O259+O260+O262+O263+O265+O266+O267</f>
        <v>2186.2999999999997</v>
      </c>
    </row>
    <row r="255" spans="1:15" ht="18.75" x14ac:dyDescent="0.2">
      <c r="A255" s="18" t="s">
        <v>0</v>
      </c>
      <c r="B255" s="14"/>
      <c r="C255" s="5"/>
      <c r="D255" s="80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8.75" x14ac:dyDescent="0.2">
      <c r="A256" s="15" t="s">
        <v>126</v>
      </c>
      <c r="B256" s="14" t="s">
        <v>89</v>
      </c>
      <c r="C256" s="5">
        <v>114.8</v>
      </c>
      <c r="D256" s="72">
        <v>125.8</v>
      </c>
      <c r="E256" s="5">
        <v>138</v>
      </c>
      <c r="F256" s="5">
        <v>260.05098563000001</v>
      </c>
      <c r="G256" s="5">
        <v>202.67617393999998</v>
      </c>
      <c r="H256" s="5">
        <v>165.9</v>
      </c>
      <c r="I256" s="5">
        <v>165.9</v>
      </c>
      <c r="J256" s="5"/>
      <c r="K256" s="5">
        <v>165.8</v>
      </c>
      <c r="L256" s="5">
        <v>165.8</v>
      </c>
      <c r="M256" s="5"/>
      <c r="N256" s="5">
        <v>170.4</v>
      </c>
      <c r="O256" s="5">
        <v>170.4</v>
      </c>
    </row>
    <row r="257" spans="1:15" ht="18.75" x14ac:dyDescent="0.2">
      <c r="A257" s="15" t="s">
        <v>324</v>
      </c>
      <c r="B257" s="14"/>
      <c r="C257" s="5">
        <v>2.2000000000000002</v>
      </c>
      <c r="D257" s="72">
        <v>2.4</v>
      </c>
      <c r="E257" s="5">
        <v>2.5</v>
      </c>
      <c r="F257" s="5">
        <v>2.9651999999999998</v>
      </c>
      <c r="G257" s="5">
        <v>3.3843000000000001</v>
      </c>
      <c r="H257" s="5">
        <v>3.5</v>
      </c>
      <c r="I257" s="5">
        <v>3.5</v>
      </c>
      <c r="J257" s="5"/>
      <c r="K257" s="5">
        <v>3.5</v>
      </c>
      <c r="L257" s="5">
        <v>3.5</v>
      </c>
      <c r="M257" s="5"/>
      <c r="N257" s="5">
        <v>3.5</v>
      </c>
      <c r="O257" s="5">
        <v>3.5</v>
      </c>
    </row>
    <row r="258" spans="1:15" ht="37.5" x14ac:dyDescent="0.2">
      <c r="A258" s="15" t="s">
        <v>127</v>
      </c>
      <c r="B258" s="14" t="s">
        <v>89</v>
      </c>
      <c r="C258" s="5">
        <v>8.5</v>
      </c>
      <c r="D258" s="72">
        <v>12.2</v>
      </c>
      <c r="E258" s="5">
        <v>15.3</v>
      </c>
      <c r="F258" s="5">
        <v>16.21933254</v>
      </c>
      <c r="G258" s="5">
        <v>25.191241089999998</v>
      </c>
      <c r="H258" s="5">
        <v>12.9</v>
      </c>
      <c r="I258" s="5">
        <v>12.9</v>
      </c>
      <c r="J258" s="5"/>
      <c r="K258" s="5">
        <v>12.5</v>
      </c>
      <c r="L258" s="5">
        <v>12.5</v>
      </c>
      <c r="M258" s="5"/>
      <c r="N258" s="5">
        <v>13</v>
      </c>
      <c r="O258" s="5">
        <v>13</v>
      </c>
    </row>
    <row r="259" spans="1:15" ht="18.75" x14ac:dyDescent="0.2">
      <c r="A259" s="15" t="s">
        <v>128</v>
      </c>
      <c r="B259" s="14" t="s">
        <v>89</v>
      </c>
      <c r="C259" s="5">
        <v>128.80000000000001</v>
      </c>
      <c r="D259" s="72">
        <v>204.6</v>
      </c>
      <c r="E259" s="5">
        <v>171.7</v>
      </c>
      <c r="F259" s="5">
        <v>281.34667075999999</v>
      </c>
      <c r="G259" s="5">
        <v>541.16452935000007</v>
      </c>
      <c r="H259" s="5">
        <v>0.3</v>
      </c>
      <c r="I259" s="5">
        <v>0.3</v>
      </c>
      <c r="J259" s="5"/>
      <c r="K259" s="5">
        <v>316.8</v>
      </c>
      <c r="L259" s="5">
        <v>316.8</v>
      </c>
      <c r="M259" s="5"/>
      <c r="N259" s="5">
        <v>316</v>
      </c>
      <c r="O259" s="5">
        <v>316</v>
      </c>
    </row>
    <row r="260" spans="1:15" ht="18.75" x14ac:dyDescent="0.2">
      <c r="A260" s="15" t="s">
        <v>129</v>
      </c>
      <c r="B260" s="14" t="s">
        <v>89</v>
      </c>
      <c r="C260" s="5">
        <v>91.4</v>
      </c>
      <c r="D260" s="72">
        <v>104.5</v>
      </c>
      <c r="E260" s="5">
        <v>80.900000000000006</v>
      </c>
      <c r="F260" s="5">
        <v>210.50660643999998</v>
      </c>
      <c r="G260" s="5">
        <v>322.63384651000001</v>
      </c>
      <c r="H260" s="5">
        <v>71.900000000000006</v>
      </c>
      <c r="I260" s="5">
        <v>71.900000000000006</v>
      </c>
      <c r="J260" s="5"/>
      <c r="K260" s="5">
        <v>64.8</v>
      </c>
      <c r="L260" s="5">
        <v>64.8</v>
      </c>
      <c r="M260" s="5"/>
      <c r="N260" s="5">
        <v>65</v>
      </c>
      <c r="O260" s="5">
        <v>65</v>
      </c>
    </row>
    <row r="261" spans="1:15" ht="18.75" x14ac:dyDescent="0.2">
      <c r="A261" s="15" t="s">
        <v>130</v>
      </c>
      <c r="B261" s="14" t="s">
        <v>89</v>
      </c>
      <c r="C261" s="5"/>
      <c r="D261" s="72"/>
      <c r="E261" s="5">
        <v>0</v>
      </c>
      <c r="F261" s="5">
        <v>1.1503838400000002</v>
      </c>
      <c r="G261" s="5">
        <v>13.74407433</v>
      </c>
      <c r="H261" s="5">
        <v>11.1</v>
      </c>
      <c r="I261" s="5">
        <v>11.1</v>
      </c>
      <c r="J261" s="5"/>
      <c r="K261" s="5">
        <v>11.5</v>
      </c>
      <c r="L261" s="5">
        <v>11.5</v>
      </c>
      <c r="M261" s="5"/>
      <c r="N261" s="5">
        <v>12</v>
      </c>
      <c r="O261" s="5">
        <v>12</v>
      </c>
    </row>
    <row r="262" spans="1:15" ht="18.75" x14ac:dyDescent="0.2">
      <c r="A262" s="15" t="s">
        <v>90</v>
      </c>
      <c r="B262" s="14" t="s">
        <v>89</v>
      </c>
      <c r="C262" s="5">
        <v>779.3</v>
      </c>
      <c r="D262" s="72">
        <v>1189.9000000000001</v>
      </c>
      <c r="E262" s="5">
        <v>1176</v>
      </c>
      <c r="F262" s="5">
        <v>1177.29099948</v>
      </c>
      <c r="G262" s="5">
        <f>1295.86996569+10</f>
        <v>1305.8699656900001</v>
      </c>
      <c r="H262" s="5">
        <f>1100.7+193.6</f>
        <v>1294.3</v>
      </c>
      <c r="I262" s="5">
        <f>1100.7+193.6</f>
        <v>1294.3</v>
      </c>
      <c r="J262" s="5"/>
      <c r="K262" s="5">
        <f>1211.6+29.2</f>
        <v>1240.8</v>
      </c>
      <c r="L262" s="5">
        <f>1211.6+29.2</f>
        <v>1240.8</v>
      </c>
      <c r="M262" s="5"/>
      <c r="N262" s="5">
        <v>1267</v>
      </c>
      <c r="O262" s="5">
        <v>1267</v>
      </c>
    </row>
    <row r="263" spans="1:15" ht="18.75" x14ac:dyDescent="0.2">
      <c r="A263" s="15" t="s">
        <v>131</v>
      </c>
      <c r="B263" s="14" t="s">
        <v>89</v>
      </c>
      <c r="C263" s="5">
        <v>133.19999999999999</v>
      </c>
      <c r="D263" s="72">
        <v>159</v>
      </c>
      <c r="E263" s="5">
        <v>205.6</v>
      </c>
      <c r="F263" s="5">
        <v>220.82571181999998</v>
      </c>
      <c r="G263" s="5">
        <f>302.40340218+10</f>
        <v>312.40340218</v>
      </c>
      <c r="H263" s="5">
        <f>202.1+100</f>
        <v>302.10000000000002</v>
      </c>
      <c r="I263" s="5">
        <f>202.1+100</f>
        <v>302.10000000000002</v>
      </c>
      <c r="J263" s="5"/>
      <c r="K263" s="5">
        <v>225.8</v>
      </c>
      <c r="L263" s="5">
        <v>225.8</v>
      </c>
      <c r="M263" s="5"/>
      <c r="N263" s="5">
        <v>236.7</v>
      </c>
      <c r="O263" s="5">
        <v>236.7</v>
      </c>
    </row>
    <row r="264" spans="1:15" ht="18.75" x14ac:dyDescent="0.2">
      <c r="A264" s="15" t="s">
        <v>132</v>
      </c>
      <c r="B264" s="14" t="s">
        <v>89</v>
      </c>
      <c r="C264" s="23"/>
      <c r="D264" s="88"/>
      <c r="E264" s="23">
        <v>0</v>
      </c>
      <c r="F264" s="5">
        <v>0</v>
      </c>
      <c r="G264" s="5">
        <v>0</v>
      </c>
      <c r="H264" s="23">
        <v>0</v>
      </c>
      <c r="I264" s="23">
        <v>0</v>
      </c>
      <c r="J264" s="23">
        <v>0</v>
      </c>
      <c r="K264" s="5">
        <v>0</v>
      </c>
      <c r="L264" s="5">
        <v>0</v>
      </c>
      <c r="M264" s="23"/>
      <c r="N264" s="5">
        <f t="shared" ref="N264:O264" si="23">K264*1.04</f>
        <v>0</v>
      </c>
      <c r="O264" s="5">
        <f t="shared" si="23"/>
        <v>0</v>
      </c>
    </row>
    <row r="265" spans="1:15" ht="18.75" x14ac:dyDescent="0.2">
      <c r="A265" s="15" t="s">
        <v>91</v>
      </c>
      <c r="B265" s="14" t="s">
        <v>89</v>
      </c>
      <c r="C265" s="5">
        <v>75.099999999999994</v>
      </c>
      <c r="D265" s="72">
        <v>75.900000000000006</v>
      </c>
      <c r="E265" s="5">
        <v>108</v>
      </c>
      <c r="F265" s="5">
        <v>112.72096933</v>
      </c>
      <c r="G265" s="5">
        <v>130.35883530000001</v>
      </c>
      <c r="H265" s="5">
        <v>89.8</v>
      </c>
      <c r="I265" s="5">
        <v>89.8</v>
      </c>
      <c r="J265" s="5"/>
      <c r="K265" s="5">
        <v>86.1</v>
      </c>
      <c r="L265" s="5">
        <v>86.1</v>
      </c>
      <c r="M265" s="5"/>
      <c r="N265" s="5">
        <v>90.2</v>
      </c>
      <c r="O265" s="5">
        <v>90.2</v>
      </c>
    </row>
    <row r="266" spans="1:15" ht="18.75" x14ac:dyDescent="0.2">
      <c r="A266" s="15" t="s">
        <v>133</v>
      </c>
      <c r="B266" s="14" t="s">
        <v>89</v>
      </c>
      <c r="C266" s="5">
        <v>3.2</v>
      </c>
      <c r="D266" s="72">
        <v>8.9</v>
      </c>
      <c r="E266" s="5">
        <v>21.7</v>
      </c>
      <c r="F266" s="5">
        <v>134.10434667000001</v>
      </c>
      <c r="G266" s="5">
        <v>119.56979698000001</v>
      </c>
      <c r="H266" s="5">
        <v>49.7</v>
      </c>
      <c r="I266" s="5">
        <v>49.7</v>
      </c>
      <c r="J266" s="5"/>
      <c r="K266" s="5">
        <v>10.199999999999999</v>
      </c>
      <c r="L266" s="5">
        <v>10.199999999999999</v>
      </c>
      <c r="M266" s="5"/>
      <c r="N266" s="5">
        <v>12.5</v>
      </c>
      <c r="O266" s="5">
        <v>12.5</v>
      </c>
    </row>
    <row r="267" spans="1:15" ht="18.75" x14ac:dyDescent="0.2">
      <c r="A267" s="15" t="s">
        <v>323</v>
      </c>
      <c r="B267" s="14" t="s">
        <v>89</v>
      </c>
      <c r="C267" s="5">
        <v>6.3</v>
      </c>
      <c r="D267" s="72">
        <v>7.2</v>
      </c>
      <c r="E267" s="5">
        <v>8</v>
      </c>
      <c r="F267" s="5">
        <v>10.677550330000001</v>
      </c>
      <c r="G267" s="5">
        <v>12.122318999999999</v>
      </c>
      <c r="H267" s="5">
        <v>11.2</v>
      </c>
      <c r="I267" s="5">
        <v>11.2</v>
      </c>
      <c r="J267" s="5"/>
      <c r="K267" s="5">
        <v>11.2</v>
      </c>
      <c r="L267" s="5">
        <v>11.2</v>
      </c>
      <c r="M267" s="5"/>
      <c r="N267" s="5">
        <v>12</v>
      </c>
      <c r="O267" s="5">
        <v>12</v>
      </c>
    </row>
    <row r="268" spans="1:15" ht="18.75" x14ac:dyDescent="0.2">
      <c r="A268" s="15" t="s">
        <v>306</v>
      </c>
      <c r="B268" s="14" t="s">
        <v>89</v>
      </c>
      <c r="C268" s="5"/>
      <c r="D268" s="72"/>
      <c r="E268" s="5">
        <v>0</v>
      </c>
      <c r="F268" s="5">
        <v>0</v>
      </c>
      <c r="G268" s="5">
        <v>0</v>
      </c>
      <c r="H268" s="5">
        <v>0</v>
      </c>
      <c r="I268" s="5">
        <v>0</v>
      </c>
      <c r="J268" s="5"/>
      <c r="K268" s="5">
        <v>0</v>
      </c>
      <c r="L268" s="5">
        <v>0</v>
      </c>
      <c r="M268" s="5"/>
      <c r="N268" s="5"/>
      <c r="O268" s="5"/>
    </row>
    <row r="269" spans="1:15" ht="18.75" x14ac:dyDescent="0.2">
      <c r="A269" s="17" t="s">
        <v>307</v>
      </c>
      <c r="B269" s="11" t="s">
        <v>89</v>
      </c>
      <c r="C269" s="5">
        <v>14.9</v>
      </c>
      <c r="D269" s="73">
        <v>39</v>
      </c>
      <c r="E269" s="5">
        <f>E235-E254</f>
        <v>51.299999999999955</v>
      </c>
      <c r="F269" s="5">
        <f>F235-F254</f>
        <v>70.428519330000199</v>
      </c>
      <c r="G269" s="5">
        <f t="shared" ref="G269:H269" si="24">G235-G254</f>
        <v>-195.04555671999969</v>
      </c>
      <c r="H269" s="5">
        <f t="shared" si="24"/>
        <v>0</v>
      </c>
      <c r="I269" s="5">
        <f t="shared" ref="I269:O269" si="25">I235-I254</f>
        <v>0</v>
      </c>
      <c r="J269" s="5">
        <f t="shared" si="25"/>
        <v>0</v>
      </c>
      <c r="K269" s="5">
        <f t="shared" ref="K269" si="26">K235-K254</f>
        <v>0</v>
      </c>
      <c r="L269" s="5">
        <f t="shared" si="25"/>
        <v>0</v>
      </c>
      <c r="M269" s="5">
        <f t="shared" si="25"/>
        <v>0</v>
      </c>
      <c r="N269" s="5">
        <f t="shared" ref="N269" si="27">N235-N254</f>
        <v>0</v>
      </c>
      <c r="O269" s="5">
        <f t="shared" si="25"/>
        <v>0</v>
      </c>
    </row>
    <row r="270" spans="1:15" ht="18.75" x14ac:dyDescent="0.2">
      <c r="A270" s="12" t="s">
        <v>308</v>
      </c>
      <c r="B270" s="11" t="s">
        <v>89</v>
      </c>
      <c r="C270" s="44">
        <v>0</v>
      </c>
      <c r="D270" s="82">
        <v>0</v>
      </c>
      <c r="E270" s="50">
        <v>0</v>
      </c>
      <c r="F270" s="50">
        <v>0</v>
      </c>
      <c r="G270" s="50">
        <v>0</v>
      </c>
      <c r="H270" s="50">
        <v>0</v>
      </c>
      <c r="I270" s="50">
        <v>0</v>
      </c>
      <c r="J270" s="50">
        <v>0</v>
      </c>
      <c r="K270" s="50">
        <v>0</v>
      </c>
      <c r="L270" s="50">
        <v>0</v>
      </c>
      <c r="M270" s="50">
        <v>0</v>
      </c>
      <c r="N270" s="50">
        <v>0</v>
      </c>
      <c r="O270" s="50">
        <v>0</v>
      </c>
    </row>
    <row r="271" spans="1:15" ht="18.75" x14ac:dyDescent="0.2">
      <c r="A271" s="10" t="s">
        <v>310</v>
      </c>
      <c r="B271" s="4"/>
      <c r="C271" s="5"/>
      <c r="D271" s="80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</row>
    <row r="272" spans="1:15" ht="18.75" x14ac:dyDescent="0.2">
      <c r="A272" s="12" t="s">
        <v>331</v>
      </c>
      <c r="B272" s="4" t="s">
        <v>77</v>
      </c>
      <c r="C272" s="54">
        <f t="shared" ref="C272:D272" si="28">C279+C308/1000</f>
        <v>19.479999999999997</v>
      </c>
      <c r="D272" s="70">
        <f t="shared" si="28"/>
        <v>19.053000000000001</v>
      </c>
      <c r="E272" s="49">
        <f>E279+E308/1000</f>
        <v>18.558</v>
      </c>
      <c r="F272" s="49">
        <f>F309/F307*100/1000</f>
        <v>19.444444444444443</v>
      </c>
      <c r="G272" s="49">
        <f>G309/G307*100/1000</f>
        <v>19.417475728155338</v>
      </c>
      <c r="H272" s="49">
        <f>H279+H308/1000</f>
        <v>19.404</v>
      </c>
      <c r="I272" s="49">
        <f>I309/I307*100/1000</f>
        <v>19.417475728155338</v>
      </c>
      <c r="J272" s="49">
        <f t="shared" ref="J272:N272" si="29">J279+J308/1000</f>
        <v>-4.1230000000000002</v>
      </c>
      <c r="K272" s="49">
        <f t="shared" si="29"/>
        <v>19.282999999999998</v>
      </c>
      <c r="L272" s="54">
        <f>L279+L308/1000</f>
        <v>19.292999999999999</v>
      </c>
      <c r="M272" s="49">
        <f t="shared" si="29"/>
        <v>-3.117</v>
      </c>
      <c r="N272" s="49">
        <f t="shared" si="29"/>
        <v>19.282999999999998</v>
      </c>
      <c r="O272" s="54">
        <f>O279+O308/1000</f>
        <v>19.292999999999999</v>
      </c>
    </row>
    <row r="273" spans="1:17" ht="30" customHeight="1" x14ac:dyDescent="0.2">
      <c r="A273" s="17" t="s">
        <v>332</v>
      </c>
      <c r="B273" s="4" t="s">
        <v>77</v>
      </c>
      <c r="C273" s="28"/>
      <c r="D273" s="89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</row>
    <row r="274" spans="1:17" ht="37.5" x14ac:dyDescent="0.2">
      <c r="A274" s="63" t="s">
        <v>335</v>
      </c>
      <c r="B274" s="4" t="s">
        <v>77</v>
      </c>
      <c r="C274" s="49">
        <v>22.067</v>
      </c>
      <c r="D274" s="70">
        <v>22.117000000000001</v>
      </c>
      <c r="E274" s="49">
        <v>22.145</v>
      </c>
      <c r="F274" s="49">
        <v>22.398</v>
      </c>
      <c r="G274" s="49">
        <v>22.4</v>
      </c>
      <c r="H274" s="44">
        <v>22.39</v>
      </c>
      <c r="I274" s="44">
        <v>22.4</v>
      </c>
      <c r="J274" s="44"/>
      <c r="K274" s="44">
        <v>22.4</v>
      </c>
      <c r="L274" s="44">
        <v>22.41</v>
      </c>
      <c r="M274" s="44"/>
      <c r="N274" s="49">
        <v>22.4</v>
      </c>
      <c r="O274" s="49">
        <v>22.41</v>
      </c>
      <c r="Q274" s="9" t="s">
        <v>92</v>
      </c>
    </row>
    <row r="275" spans="1:17" ht="18.75" x14ac:dyDescent="0.2">
      <c r="A275" s="34" t="s">
        <v>336</v>
      </c>
      <c r="B275" s="4" t="s">
        <v>77</v>
      </c>
      <c r="C275" s="5"/>
      <c r="D275" s="72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</row>
    <row r="276" spans="1:17" ht="56.25" x14ac:dyDescent="0.2">
      <c r="A276" s="34" t="s">
        <v>337</v>
      </c>
      <c r="B276" s="4" t="s">
        <v>77</v>
      </c>
      <c r="C276" s="5"/>
      <c r="D276" s="76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</row>
    <row r="277" spans="1:17" ht="27" customHeight="1" x14ac:dyDescent="0.2">
      <c r="A277" s="34" t="s">
        <v>367</v>
      </c>
      <c r="B277" s="4" t="s">
        <v>77</v>
      </c>
      <c r="C277" s="5"/>
      <c r="D277" s="81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</row>
    <row r="278" spans="1:17" ht="29.25" customHeight="1" x14ac:dyDescent="0.2">
      <c r="A278" s="34" t="s">
        <v>368</v>
      </c>
      <c r="B278" s="4" t="s">
        <v>77</v>
      </c>
      <c r="C278" s="28"/>
      <c r="D278" s="90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</row>
    <row r="279" spans="1:17" ht="37.5" x14ac:dyDescent="0.2">
      <c r="A279" s="62" t="s">
        <v>333</v>
      </c>
      <c r="B279" s="7" t="s">
        <v>77</v>
      </c>
      <c r="C279" s="1">
        <v>16.899999999999999</v>
      </c>
      <c r="D279" s="91">
        <f t="shared" ref="D279:I279" si="30">D274-D299</f>
        <v>16.93</v>
      </c>
      <c r="E279" s="48">
        <f t="shared" si="30"/>
        <v>17.850999999999999</v>
      </c>
      <c r="F279" s="48">
        <f t="shared" si="30"/>
        <v>18.274999999999999</v>
      </c>
      <c r="G279" s="48">
        <f t="shared" si="30"/>
        <v>18.276999999999997</v>
      </c>
      <c r="H279" s="48">
        <f t="shared" si="30"/>
        <v>18.266999999999999</v>
      </c>
      <c r="I279" s="48">
        <f t="shared" si="30"/>
        <v>18.276999999999997</v>
      </c>
      <c r="J279" s="48">
        <f t="shared" ref="J279:O279" si="31">J274-J299</f>
        <v>-4.1230000000000002</v>
      </c>
      <c r="K279" s="48">
        <f>K274-K299</f>
        <v>18.276999999999997</v>
      </c>
      <c r="L279" s="130">
        <f>L274-L299</f>
        <v>18.286999999999999</v>
      </c>
      <c r="M279" s="48">
        <f t="shared" si="31"/>
        <v>-4.1230000000000002</v>
      </c>
      <c r="N279" s="48">
        <f t="shared" si="31"/>
        <v>18.276999999999997</v>
      </c>
      <c r="O279" s="130">
        <f t="shared" si="31"/>
        <v>18.286999999999999</v>
      </c>
    </row>
    <row r="280" spans="1:17" ht="37.5" x14ac:dyDescent="0.2">
      <c r="A280" s="34" t="s">
        <v>338</v>
      </c>
      <c r="B280" s="7" t="s">
        <v>77</v>
      </c>
      <c r="C280" s="31">
        <v>0.92900000000000005</v>
      </c>
      <c r="D280" s="92">
        <v>0.93200000000000005</v>
      </c>
      <c r="E280" s="31">
        <v>0.88900000000000001</v>
      </c>
      <c r="F280" s="31">
        <v>0.98399999999999999</v>
      </c>
      <c r="G280" s="31">
        <v>0.98399999999999999</v>
      </c>
      <c r="H280" s="31">
        <v>0.98399999999999999</v>
      </c>
      <c r="I280" s="31">
        <v>0.98399999999999999</v>
      </c>
      <c r="J280" s="31">
        <v>0.98399999999999999</v>
      </c>
      <c r="K280" s="31">
        <v>0.98399999999999999</v>
      </c>
      <c r="L280" s="31">
        <v>0.98399999999999999</v>
      </c>
      <c r="M280" s="31">
        <v>0.98399999999999999</v>
      </c>
      <c r="N280" s="31">
        <v>0.98399999999999999</v>
      </c>
      <c r="O280" s="31">
        <v>0.98399999999999999</v>
      </c>
    </row>
    <row r="281" spans="1:17" ht="18.75" x14ac:dyDescent="0.2">
      <c r="A281" s="34" t="s">
        <v>339</v>
      </c>
      <c r="B281" s="7" t="s">
        <v>77</v>
      </c>
      <c r="C281" s="55">
        <v>0.20499999999999999</v>
      </c>
      <c r="D281" s="93">
        <v>0.19900000000000001</v>
      </c>
      <c r="E281" s="55">
        <v>0.50900000000000001</v>
      </c>
      <c r="F281" s="55">
        <v>0.34699999999999998</v>
      </c>
      <c r="G281" s="55">
        <v>0.34699999999999998</v>
      </c>
      <c r="H281" s="55">
        <v>0.34699999999999998</v>
      </c>
      <c r="I281" s="55">
        <v>0.34699999999999998</v>
      </c>
      <c r="J281" s="55">
        <v>0.34699999999999998</v>
      </c>
      <c r="K281" s="55">
        <v>0.34699999999999998</v>
      </c>
      <c r="L281" s="55">
        <v>0.34699999999999998</v>
      </c>
      <c r="M281" s="55">
        <v>0.34699999999999998</v>
      </c>
      <c r="N281" s="55">
        <v>0.34699999999999998</v>
      </c>
      <c r="O281" s="55">
        <v>0.34699999999999998</v>
      </c>
    </row>
    <row r="282" spans="1:17" ht="18.75" x14ac:dyDescent="0.2">
      <c r="A282" s="34" t="s">
        <v>340</v>
      </c>
      <c r="B282" s="7" t="s">
        <v>77</v>
      </c>
      <c r="C282" s="7">
        <v>1.139</v>
      </c>
      <c r="D282" s="94">
        <v>1.0760000000000001</v>
      </c>
      <c r="E282" s="55">
        <v>0.68700000000000006</v>
      </c>
      <c r="F282" s="55">
        <v>0.89900000000000002</v>
      </c>
      <c r="G282" s="55">
        <v>0.89900000000000002</v>
      </c>
      <c r="H282" s="55">
        <v>0.89900000000000002</v>
      </c>
      <c r="I282" s="55">
        <v>0.89900000000000002</v>
      </c>
      <c r="J282" s="55">
        <v>0.89900000000000002</v>
      </c>
      <c r="K282" s="55">
        <v>0.89900000000000002</v>
      </c>
      <c r="L282" s="55">
        <v>0.89900000000000002</v>
      </c>
      <c r="M282" s="55">
        <v>0.89900000000000002</v>
      </c>
      <c r="N282" s="55">
        <v>0.89900000000000002</v>
      </c>
      <c r="O282" s="55">
        <v>0.89900000000000002</v>
      </c>
    </row>
    <row r="283" spans="1:17" ht="37.5" x14ac:dyDescent="0.2">
      <c r="A283" s="34" t="s">
        <v>341</v>
      </c>
      <c r="B283" s="7" t="s">
        <v>77</v>
      </c>
      <c r="C283" s="30">
        <v>0.1</v>
      </c>
      <c r="D283" s="67">
        <v>0.14099999999999999</v>
      </c>
      <c r="E283" s="30">
        <v>0.14399999999999999</v>
      </c>
      <c r="F283" s="30">
        <v>0.129</v>
      </c>
      <c r="G283" s="30">
        <v>0.129</v>
      </c>
      <c r="H283" s="30">
        <v>0.129</v>
      </c>
      <c r="I283" s="30">
        <v>0.129</v>
      </c>
      <c r="J283" s="30">
        <v>0.129</v>
      </c>
      <c r="K283" s="30">
        <v>0.129</v>
      </c>
      <c r="L283" s="30">
        <v>0.129</v>
      </c>
      <c r="M283" s="30">
        <v>0.129</v>
      </c>
      <c r="N283" s="30">
        <v>0.129</v>
      </c>
      <c r="O283" s="30">
        <v>0.129</v>
      </c>
    </row>
    <row r="284" spans="1:17" ht="56.25" x14ac:dyDescent="0.2">
      <c r="A284" s="34" t="s">
        <v>342</v>
      </c>
      <c r="B284" s="7" t="s">
        <v>77</v>
      </c>
      <c r="C284" s="30">
        <v>0.223</v>
      </c>
      <c r="D284" s="76">
        <v>0.223</v>
      </c>
      <c r="E284" s="29">
        <v>0.10100000000000001</v>
      </c>
      <c r="F284" s="29">
        <v>0.115</v>
      </c>
      <c r="G284" s="29">
        <v>0.115</v>
      </c>
      <c r="H284" s="29">
        <v>0.115</v>
      </c>
      <c r="I284" s="29">
        <v>0.115</v>
      </c>
      <c r="J284" s="29">
        <v>0.115</v>
      </c>
      <c r="K284" s="29">
        <v>0.115</v>
      </c>
      <c r="L284" s="29">
        <v>0.115</v>
      </c>
      <c r="M284" s="29">
        <v>0.115</v>
      </c>
      <c r="N284" s="29">
        <v>0.115</v>
      </c>
      <c r="O284" s="29">
        <v>0.115</v>
      </c>
    </row>
    <row r="285" spans="1:17" ht="18.75" x14ac:dyDescent="0.2">
      <c r="A285" s="34" t="s">
        <v>343</v>
      </c>
      <c r="B285" s="7" t="s">
        <v>77</v>
      </c>
      <c r="C285" s="30">
        <v>6.7000000000000004E-2</v>
      </c>
      <c r="D285" s="72">
        <v>6.9000000000000006E-2</v>
      </c>
      <c r="E285" s="26">
        <v>4.3999999999999997E-2</v>
      </c>
      <c r="F285" s="26">
        <v>7.4999999999999997E-2</v>
      </c>
      <c r="G285" s="26">
        <v>7.4999999999999997E-2</v>
      </c>
      <c r="H285" s="26">
        <v>7.4999999999999997E-2</v>
      </c>
      <c r="I285" s="26">
        <v>7.4999999999999997E-2</v>
      </c>
      <c r="J285" s="26">
        <v>7.4999999999999997E-2</v>
      </c>
      <c r="K285" s="26">
        <v>7.4999999999999997E-2</v>
      </c>
      <c r="L285" s="26">
        <v>7.4999999999999997E-2</v>
      </c>
      <c r="M285" s="26">
        <v>7.4999999999999997E-2</v>
      </c>
      <c r="N285" s="26">
        <v>7.4999999999999997E-2</v>
      </c>
      <c r="O285" s="26">
        <v>7.4999999999999997E-2</v>
      </c>
    </row>
    <row r="286" spans="1:17" ht="37.5" x14ac:dyDescent="0.2">
      <c r="A286" s="34" t="s">
        <v>344</v>
      </c>
      <c r="B286" s="7" t="s">
        <v>77</v>
      </c>
      <c r="C286" s="24">
        <v>0.91700000000000004</v>
      </c>
      <c r="D286" s="95">
        <v>0.93100000000000005</v>
      </c>
      <c r="E286" s="24">
        <v>0.91600000000000004</v>
      </c>
      <c r="F286" s="24">
        <v>1.034</v>
      </c>
      <c r="G286" s="24">
        <v>1.034</v>
      </c>
      <c r="H286" s="24">
        <v>1.034</v>
      </c>
      <c r="I286" s="24">
        <v>1.034</v>
      </c>
      <c r="J286" s="24">
        <v>1.034</v>
      </c>
      <c r="K286" s="24">
        <v>1.034</v>
      </c>
      <c r="L286" s="24">
        <v>1.034</v>
      </c>
      <c r="M286" s="24">
        <v>1.034</v>
      </c>
      <c r="N286" s="24">
        <v>1.034</v>
      </c>
      <c r="O286" s="24">
        <v>1.034</v>
      </c>
    </row>
    <row r="287" spans="1:17" ht="18.75" x14ac:dyDescent="0.2">
      <c r="A287" s="34" t="s">
        <v>345</v>
      </c>
      <c r="B287" s="7" t="s">
        <v>77</v>
      </c>
      <c r="C287" s="30">
        <v>0.41199999999999998</v>
      </c>
      <c r="D287" s="76">
        <v>9.2999999999999999E-2</v>
      </c>
      <c r="E287" s="29">
        <v>6.7000000000000004E-2</v>
      </c>
      <c r="F287" s="29">
        <v>8.5000000000000006E-2</v>
      </c>
      <c r="G287" s="29">
        <v>8.5000000000000006E-2</v>
      </c>
      <c r="H287" s="29">
        <v>8.5000000000000006E-2</v>
      </c>
      <c r="I287" s="29">
        <v>8.5000000000000006E-2</v>
      </c>
      <c r="J287" s="29">
        <v>8.5000000000000006E-2</v>
      </c>
      <c r="K287" s="29">
        <v>8.5000000000000006E-2</v>
      </c>
      <c r="L287" s="29">
        <v>8.5000000000000006E-2</v>
      </c>
      <c r="M287" s="29">
        <v>8.5000000000000006E-2</v>
      </c>
      <c r="N287" s="29">
        <v>8.5000000000000006E-2</v>
      </c>
      <c r="O287" s="29">
        <v>8.5000000000000006E-2</v>
      </c>
    </row>
    <row r="288" spans="1:17" ht="37.5" x14ac:dyDescent="0.2">
      <c r="A288" s="34" t="s">
        <v>346</v>
      </c>
      <c r="B288" s="7" t="s">
        <v>77</v>
      </c>
      <c r="C288" s="56">
        <v>2.5999999999999999E-2</v>
      </c>
      <c r="D288" s="72">
        <v>2.5000000000000001E-2</v>
      </c>
      <c r="E288" s="26">
        <v>2.5999999999999999E-2</v>
      </c>
      <c r="F288" s="26">
        <v>0.114</v>
      </c>
      <c r="G288" s="26">
        <v>0.114</v>
      </c>
      <c r="H288" s="26">
        <v>0.114</v>
      </c>
      <c r="I288" s="26">
        <v>0.114</v>
      </c>
      <c r="J288" s="26">
        <v>0.114</v>
      </c>
      <c r="K288" s="26">
        <v>0.114</v>
      </c>
      <c r="L288" s="26">
        <v>0.114</v>
      </c>
      <c r="M288" s="26">
        <v>0.114</v>
      </c>
      <c r="N288" s="26">
        <v>0.114</v>
      </c>
      <c r="O288" s="26">
        <v>0.114</v>
      </c>
    </row>
    <row r="289" spans="1:17" ht="18.75" x14ac:dyDescent="0.2">
      <c r="A289" s="34" t="s">
        <v>347</v>
      </c>
      <c r="B289" s="7" t="s">
        <v>77</v>
      </c>
      <c r="C289" s="5"/>
      <c r="D289" s="72"/>
      <c r="E289" s="5">
        <v>0.01</v>
      </c>
      <c r="F289" s="5">
        <v>7.0000000000000007E-2</v>
      </c>
      <c r="G289" s="5">
        <v>7.0000000000000007E-2</v>
      </c>
      <c r="H289" s="5">
        <v>7.0000000000000007E-2</v>
      </c>
      <c r="I289" s="5">
        <v>7.0000000000000007E-2</v>
      </c>
      <c r="J289" s="5">
        <v>7.0000000000000007E-2</v>
      </c>
      <c r="K289" s="5">
        <v>7.0000000000000007E-2</v>
      </c>
      <c r="L289" s="5">
        <v>7.0000000000000007E-2</v>
      </c>
      <c r="M289" s="5">
        <v>7.0000000000000007E-2</v>
      </c>
      <c r="N289" s="5">
        <v>7.0000000000000007E-2</v>
      </c>
      <c r="O289" s="5">
        <v>7.0000000000000007E-2</v>
      </c>
    </row>
    <row r="290" spans="1:17" ht="18.75" x14ac:dyDescent="0.2">
      <c r="A290" s="34" t="s">
        <v>348</v>
      </c>
      <c r="B290" s="7" t="s">
        <v>77</v>
      </c>
      <c r="C290" s="21">
        <v>1.0999999999999999E-2</v>
      </c>
      <c r="D290" s="64">
        <v>8.0000000000000002E-3</v>
      </c>
      <c r="E290" s="39">
        <v>1E-3</v>
      </c>
      <c r="F290" s="39"/>
      <c r="G290" s="39"/>
      <c r="H290" s="39"/>
      <c r="I290" s="39"/>
      <c r="J290" s="39"/>
      <c r="K290" s="39"/>
      <c r="L290" s="39"/>
      <c r="M290" s="39"/>
      <c r="N290" s="39"/>
      <c r="O290" s="39"/>
    </row>
    <row r="291" spans="1:17" ht="37.5" x14ac:dyDescent="0.2">
      <c r="A291" s="34" t="s">
        <v>349</v>
      </c>
      <c r="B291" s="7" t="s">
        <v>77</v>
      </c>
      <c r="C291" s="25">
        <v>8.0000000000000002E-3</v>
      </c>
      <c r="D291" s="73">
        <v>8.0000000000000002E-3</v>
      </c>
      <c r="E291" s="25">
        <v>1.7999999999999999E-2</v>
      </c>
      <c r="F291" s="25">
        <v>2.5000000000000001E-2</v>
      </c>
      <c r="G291" s="25">
        <v>2.5000000000000001E-2</v>
      </c>
      <c r="H291" s="25">
        <v>2.5000000000000001E-2</v>
      </c>
      <c r="I291" s="25">
        <v>2.5000000000000001E-2</v>
      </c>
      <c r="J291" s="25">
        <v>2.5000000000000001E-2</v>
      </c>
      <c r="K291" s="25">
        <v>2.5000000000000001E-2</v>
      </c>
      <c r="L291" s="25">
        <v>2.5000000000000001E-2</v>
      </c>
      <c r="M291" s="25">
        <v>2.5000000000000001E-2</v>
      </c>
      <c r="N291" s="25">
        <v>2.5000000000000001E-2</v>
      </c>
      <c r="O291" s="25">
        <v>2.5000000000000001E-2</v>
      </c>
    </row>
    <row r="292" spans="1:17" ht="37.5" x14ac:dyDescent="0.2">
      <c r="A292" s="34" t="s">
        <v>350</v>
      </c>
      <c r="B292" s="7" t="s">
        <v>77</v>
      </c>
      <c r="C292" s="30">
        <v>0.13400000000000001</v>
      </c>
      <c r="D292" s="76">
        <v>0.14099999999999999</v>
      </c>
      <c r="E292" s="29">
        <v>0.17199999999999999</v>
      </c>
      <c r="F292" s="29">
        <v>0.13700000000000001</v>
      </c>
      <c r="G292" s="29">
        <v>0.13700000000000001</v>
      </c>
      <c r="H292" s="29">
        <v>0.13700000000000001</v>
      </c>
      <c r="I292" s="29">
        <v>0.13700000000000001</v>
      </c>
      <c r="J292" s="29">
        <v>0.13700000000000001</v>
      </c>
      <c r="K292" s="29">
        <v>0.13700000000000001</v>
      </c>
      <c r="L292" s="29">
        <v>0.13700000000000001</v>
      </c>
      <c r="M292" s="29">
        <v>0.13700000000000001</v>
      </c>
      <c r="N292" s="29">
        <v>0.13700000000000001</v>
      </c>
      <c r="O292" s="29">
        <v>0.13700000000000001</v>
      </c>
    </row>
    <row r="293" spans="1:17" ht="37.5" x14ac:dyDescent="0.2">
      <c r="A293" s="34" t="s">
        <v>351</v>
      </c>
      <c r="B293" s="6" t="s">
        <v>77</v>
      </c>
      <c r="C293" s="5">
        <v>0.04</v>
      </c>
      <c r="D293" s="72">
        <v>4.8000000000000001E-2</v>
      </c>
      <c r="E293" s="26">
        <v>5.7000000000000002E-2</v>
      </c>
      <c r="F293" s="26">
        <v>0.49</v>
      </c>
      <c r="G293" s="26">
        <v>0.49</v>
      </c>
      <c r="H293" s="26">
        <v>0.49</v>
      </c>
      <c r="I293" s="26">
        <v>0.49</v>
      </c>
      <c r="J293" s="26">
        <v>0.49</v>
      </c>
      <c r="K293" s="26">
        <v>0.49</v>
      </c>
      <c r="L293" s="26">
        <v>0.49</v>
      </c>
      <c r="M293" s="26">
        <v>0.49</v>
      </c>
      <c r="N293" s="26">
        <v>0.49</v>
      </c>
      <c r="O293" s="26">
        <v>0.49</v>
      </c>
    </row>
    <row r="294" spans="1:17" ht="37.5" x14ac:dyDescent="0.2">
      <c r="A294" s="34" t="s">
        <v>352</v>
      </c>
      <c r="B294" s="6" t="s">
        <v>77</v>
      </c>
      <c r="C294" s="24">
        <v>0.94599999999999995</v>
      </c>
      <c r="D294" s="95">
        <v>0.90800000000000003</v>
      </c>
      <c r="E294" s="131">
        <v>0.93600000000000005</v>
      </c>
      <c r="F294" s="131">
        <v>0.97099999999999997</v>
      </c>
      <c r="G294" s="131">
        <v>0.97099999999999997</v>
      </c>
      <c r="H294" s="131">
        <v>0.97099999999999997</v>
      </c>
      <c r="I294" s="131">
        <v>0.97099999999999997</v>
      </c>
      <c r="J294" s="131">
        <v>0.97099999999999997</v>
      </c>
      <c r="K294" s="131">
        <v>0.97099999999999997</v>
      </c>
      <c r="L294" s="131">
        <v>0.97099999999999997</v>
      </c>
      <c r="M294" s="131">
        <v>0.97099999999999997</v>
      </c>
      <c r="N294" s="131">
        <v>0.97099999999999997</v>
      </c>
      <c r="O294" s="131">
        <v>0.97099999999999997</v>
      </c>
    </row>
    <row r="295" spans="1:17" ht="18.75" x14ac:dyDescent="0.2">
      <c r="A295" s="34" t="s">
        <v>353</v>
      </c>
      <c r="B295" s="6" t="s">
        <v>77</v>
      </c>
      <c r="C295" s="30">
        <v>1.4259999999999999</v>
      </c>
      <c r="D295" s="67">
        <v>1.421</v>
      </c>
      <c r="E295" s="30">
        <v>1.4610000000000001</v>
      </c>
      <c r="F295" s="30">
        <v>1.504</v>
      </c>
      <c r="G295" s="30">
        <v>1.504</v>
      </c>
      <c r="H295" s="30">
        <v>1.504</v>
      </c>
      <c r="I295" s="30">
        <v>1.504</v>
      </c>
      <c r="J295" s="30">
        <v>1.504</v>
      </c>
      <c r="K295" s="30">
        <v>1.504</v>
      </c>
      <c r="L295" s="30">
        <v>1.504</v>
      </c>
      <c r="M295" s="30">
        <v>1.504</v>
      </c>
      <c r="N295" s="30">
        <v>1.504</v>
      </c>
      <c r="O295" s="30">
        <v>1.504</v>
      </c>
    </row>
    <row r="296" spans="1:17" ht="37.5" x14ac:dyDescent="0.2">
      <c r="A296" s="34" t="s">
        <v>354</v>
      </c>
      <c r="B296" s="6" t="s">
        <v>77</v>
      </c>
      <c r="C296" s="30">
        <v>0.42</v>
      </c>
      <c r="D296" s="67">
        <v>0.42</v>
      </c>
      <c r="E296" s="30">
        <v>0.41599999999999998</v>
      </c>
      <c r="F296" s="30">
        <v>0.28000000000000003</v>
      </c>
      <c r="G296" s="30">
        <v>0.28000000000000003</v>
      </c>
      <c r="H296" s="30">
        <v>0.28000000000000003</v>
      </c>
      <c r="I296" s="30">
        <v>0.28000000000000003</v>
      </c>
      <c r="J296" s="30">
        <v>0.28000000000000003</v>
      </c>
      <c r="K296" s="30">
        <v>0.28000000000000003</v>
      </c>
      <c r="L296" s="30">
        <v>0.28000000000000003</v>
      </c>
      <c r="M296" s="30">
        <v>0.28000000000000003</v>
      </c>
      <c r="N296" s="30">
        <v>0.28000000000000003</v>
      </c>
      <c r="O296" s="30">
        <v>0.28000000000000003</v>
      </c>
    </row>
    <row r="297" spans="1:17" ht="37.5" x14ac:dyDescent="0.2">
      <c r="A297" s="34" t="s">
        <v>355</v>
      </c>
      <c r="B297" s="6" t="s">
        <v>77</v>
      </c>
      <c r="C297" s="30">
        <v>0.15</v>
      </c>
      <c r="D297" s="67">
        <v>0.155</v>
      </c>
      <c r="E297" s="30">
        <v>0.159</v>
      </c>
      <c r="F297" s="30">
        <v>0.26900000000000002</v>
      </c>
      <c r="G297" s="30">
        <v>0.26900000000000002</v>
      </c>
      <c r="H297" s="30">
        <v>0.26900000000000002</v>
      </c>
      <c r="I297" s="30">
        <v>0.26900000000000002</v>
      </c>
      <c r="J297" s="30">
        <v>0.26900000000000002</v>
      </c>
      <c r="K297" s="30">
        <v>0.26900000000000002</v>
      </c>
      <c r="L297" s="30">
        <v>0.26900000000000002</v>
      </c>
      <c r="M297" s="30">
        <v>0.26900000000000002</v>
      </c>
      <c r="N297" s="30">
        <v>0.26900000000000002</v>
      </c>
      <c r="O297" s="30">
        <v>0.26900000000000002</v>
      </c>
    </row>
    <row r="298" spans="1:17" ht="18.75" x14ac:dyDescent="0.2">
      <c r="A298" s="34" t="s">
        <v>356</v>
      </c>
      <c r="B298" s="6" t="s">
        <v>77</v>
      </c>
      <c r="C298" s="30">
        <v>0.2</v>
      </c>
      <c r="D298" s="67">
        <v>0.21</v>
      </c>
      <c r="E298" s="30">
        <v>0.48099999999999998</v>
      </c>
      <c r="F298" s="30">
        <v>0.36</v>
      </c>
      <c r="G298" s="30">
        <v>0.36</v>
      </c>
      <c r="H298" s="30">
        <v>0.36</v>
      </c>
      <c r="I298" s="30">
        <v>0.36</v>
      </c>
      <c r="J298" s="30">
        <v>0.36</v>
      </c>
      <c r="K298" s="30">
        <v>0.36</v>
      </c>
      <c r="L298" s="30">
        <v>0.36</v>
      </c>
      <c r="M298" s="30">
        <v>0.36</v>
      </c>
      <c r="N298" s="30">
        <v>0.36</v>
      </c>
      <c r="O298" s="30">
        <v>0.36</v>
      </c>
    </row>
    <row r="299" spans="1:17" ht="60" customHeight="1" x14ac:dyDescent="0.2">
      <c r="A299" s="62" t="s">
        <v>334</v>
      </c>
      <c r="B299" s="6" t="s">
        <v>77</v>
      </c>
      <c r="C299" s="44">
        <v>5.17</v>
      </c>
      <c r="D299" s="96">
        <v>5.1870000000000003</v>
      </c>
      <c r="E299" s="138">
        <v>4.2939999999999996</v>
      </c>
      <c r="F299" s="132">
        <v>4.1230000000000002</v>
      </c>
      <c r="G299" s="132">
        <v>4.1230000000000002</v>
      </c>
      <c r="H299" s="132">
        <v>4.1230000000000002</v>
      </c>
      <c r="I299" s="132">
        <v>4.1230000000000002</v>
      </c>
      <c r="J299" s="132">
        <v>4.1230000000000002</v>
      </c>
      <c r="K299" s="132">
        <v>4.1230000000000002</v>
      </c>
      <c r="L299" s="132">
        <v>4.1230000000000002</v>
      </c>
      <c r="M299" s="132">
        <v>4.1230000000000002</v>
      </c>
      <c r="N299" s="132">
        <v>4.1230000000000002</v>
      </c>
      <c r="O299" s="132">
        <v>4.1230000000000002</v>
      </c>
    </row>
    <row r="300" spans="1:17" ht="56.25" x14ac:dyDescent="0.2">
      <c r="A300" s="34" t="s">
        <v>357</v>
      </c>
      <c r="B300" s="6" t="s">
        <v>77</v>
      </c>
      <c r="C300" s="30">
        <v>0.33500000000000002</v>
      </c>
      <c r="D300" s="110">
        <v>3.7999999999999999E-2</v>
      </c>
      <c r="E300" s="116">
        <v>8.0000000000000002E-3</v>
      </c>
      <c r="F300" s="116">
        <v>7.1999999999999995E-2</v>
      </c>
      <c r="G300" s="116">
        <v>7.8E-2</v>
      </c>
      <c r="H300" s="5">
        <v>7.0000000000000007E-2</v>
      </c>
      <c r="I300" s="5">
        <v>7.0000000000000007E-2</v>
      </c>
      <c r="J300" s="5">
        <v>7.0000000000000007E-2</v>
      </c>
      <c r="K300" s="5">
        <v>7.0000000000000007E-2</v>
      </c>
      <c r="L300" s="5">
        <v>7.0000000000000007E-2</v>
      </c>
      <c r="M300" s="5">
        <v>7.0000000000000007E-2</v>
      </c>
      <c r="N300" s="5">
        <v>7.0000000000000007E-2</v>
      </c>
      <c r="O300" s="5">
        <v>7.0000000000000007E-2</v>
      </c>
    </row>
    <row r="301" spans="1:17" ht="37.5" x14ac:dyDescent="0.2">
      <c r="A301" s="107" t="s">
        <v>358</v>
      </c>
      <c r="B301" s="6" t="s">
        <v>77</v>
      </c>
      <c r="C301" s="5">
        <v>0.2</v>
      </c>
      <c r="D301" s="110">
        <f>D309/1000</f>
        <v>0.76400000000000001</v>
      </c>
      <c r="E301" s="116">
        <f t="shared" ref="E301:F301" si="32">E309/1000</f>
        <v>0.28499999999999998</v>
      </c>
      <c r="F301" s="116">
        <f t="shared" si="32"/>
        <v>0.21</v>
      </c>
      <c r="G301" s="116">
        <f>G309/1000</f>
        <v>0.2</v>
      </c>
      <c r="H301" s="116">
        <f t="shared" ref="H301:O301" si="33">H309/1000</f>
        <v>0.2</v>
      </c>
      <c r="I301" s="116">
        <f t="shared" si="33"/>
        <v>0.2</v>
      </c>
      <c r="J301" s="116">
        <f t="shared" si="33"/>
        <v>0</v>
      </c>
      <c r="K301" s="116">
        <f t="shared" si="33"/>
        <v>0.22</v>
      </c>
      <c r="L301" s="116">
        <f t="shared" si="33"/>
        <v>0.22</v>
      </c>
      <c r="M301" s="116">
        <f t="shared" si="33"/>
        <v>0</v>
      </c>
      <c r="N301" s="116">
        <f t="shared" si="33"/>
        <v>0.22</v>
      </c>
      <c r="O301" s="116">
        <f t="shared" si="33"/>
        <v>0.22</v>
      </c>
    </row>
    <row r="302" spans="1:17" ht="45" customHeight="1" x14ac:dyDescent="0.2">
      <c r="A302" s="34" t="s">
        <v>359</v>
      </c>
      <c r="B302" s="6" t="s">
        <v>77</v>
      </c>
      <c r="C302" s="30">
        <f>C299-C300-C301</f>
        <v>4.6349999999999998</v>
      </c>
      <c r="D302" s="110">
        <f>D299-D300-D301</f>
        <v>4.3849999999999998</v>
      </c>
      <c r="E302" s="116">
        <f>E299-E300-E301</f>
        <v>4.0009999999999994</v>
      </c>
      <c r="F302" s="116">
        <f>F299-F300-F301</f>
        <v>3.8410000000000002</v>
      </c>
      <c r="G302" s="116">
        <f>G299-G300-G301</f>
        <v>3.8449999999999998</v>
      </c>
      <c r="H302" s="116">
        <f t="shared" ref="H302:O302" si="34">H299-H300-H301</f>
        <v>3.8529999999999998</v>
      </c>
      <c r="I302" s="116">
        <f>I299-I300-I301</f>
        <v>3.8529999999999998</v>
      </c>
      <c r="J302" s="116">
        <f t="shared" si="34"/>
        <v>4.0529999999999999</v>
      </c>
      <c r="K302" s="116">
        <f t="shared" si="34"/>
        <v>3.8329999999999997</v>
      </c>
      <c r="L302" s="116">
        <f t="shared" si="34"/>
        <v>3.8329999999999997</v>
      </c>
      <c r="M302" s="116">
        <f t="shared" si="34"/>
        <v>4.0529999999999999</v>
      </c>
      <c r="N302" s="116">
        <f t="shared" si="34"/>
        <v>3.8329999999999997</v>
      </c>
      <c r="O302" s="116">
        <f t="shared" si="34"/>
        <v>3.8329999999999997</v>
      </c>
    </row>
    <row r="303" spans="1:17" ht="60.75" customHeight="1" x14ac:dyDescent="0.2">
      <c r="A303" s="12" t="s">
        <v>360</v>
      </c>
      <c r="B303" s="27" t="s">
        <v>320</v>
      </c>
      <c r="C303" s="44">
        <v>39156.53</v>
      </c>
      <c r="D303" s="66">
        <f>D312/D311/12</f>
        <v>43469.907407407409</v>
      </c>
      <c r="E303" s="45">
        <f t="shared" ref="E303:O303" si="35">E312/E311/12</f>
        <v>44238.683127572025</v>
      </c>
      <c r="F303" s="45">
        <f t="shared" si="35"/>
        <v>48189.873417721516</v>
      </c>
      <c r="G303" s="45">
        <f>G312/G311/12</f>
        <v>51981.25</v>
      </c>
      <c r="H303" s="45">
        <f t="shared" si="35"/>
        <v>55005.208333333336</v>
      </c>
      <c r="I303" s="45">
        <f t="shared" si="35"/>
        <v>55548.958333333336</v>
      </c>
      <c r="J303" s="45">
        <f t="shared" si="35"/>
        <v>0</v>
      </c>
      <c r="K303" s="45">
        <f t="shared" si="35"/>
        <v>58446.875</v>
      </c>
      <c r="L303" s="45">
        <f t="shared" si="35"/>
        <v>59361.458333333336</v>
      </c>
      <c r="M303" s="45">
        <f t="shared" si="35"/>
        <v>0</v>
      </c>
      <c r="N303" s="45">
        <f t="shared" si="35"/>
        <v>62344.583333333336</v>
      </c>
      <c r="O303" s="45">
        <f t="shared" si="35"/>
        <v>63421.875</v>
      </c>
    </row>
    <row r="304" spans="1:17" ht="56.25" x14ac:dyDescent="0.2">
      <c r="A304" s="17" t="s">
        <v>361</v>
      </c>
      <c r="B304" s="27" t="s">
        <v>363</v>
      </c>
      <c r="C304" s="30">
        <v>116.8</v>
      </c>
      <c r="D304" s="67">
        <f>D303/C303*100</f>
        <v>111.0157294515306</v>
      </c>
      <c r="E304" s="30">
        <f>E303/D303*100</f>
        <v>101.76852394222864</v>
      </c>
      <c r="F304" s="30">
        <f>F303/E303*100</f>
        <v>108.93152781866348</v>
      </c>
      <c r="G304" s="30">
        <f>G303/F303*100</f>
        <v>107.86757945889151</v>
      </c>
      <c r="H304" s="30">
        <f>H303/G303*100</f>
        <v>105.81740210813196</v>
      </c>
      <c r="I304" s="30">
        <f>I303/G303*100</f>
        <v>106.86345236663861</v>
      </c>
      <c r="J304" s="30"/>
      <c r="K304" s="30">
        <f>K303/H303*100</f>
        <v>106.25698324022346</v>
      </c>
      <c r="L304" s="30">
        <f>L303/I303*100</f>
        <v>106.86331501865847</v>
      </c>
      <c r="M304" s="30"/>
      <c r="N304" s="30">
        <f>N303/K303*100</f>
        <v>106.66880536099379</v>
      </c>
      <c r="O304" s="30">
        <f>O303/L303*100</f>
        <v>106.8401565269272</v>
      </c>
      <c r="Q304" s="9" t="s">
        <v>92</v>
      </c>
    </row>
    <row r="305" spans="1:18" ht="37.5" x14ac:dyDescent="0.2">
      <c r="A305" s="16" t="s">
        <v>362</v>
      </c>
      <c r="B305" s="27" t="s">
        <v>363</v>
      </c>
      <c r="C305" s="5">
        <f>C304/105.9</f>
        <v>1.1029272898961284</v>
      </c>
      <c r="D305" s="68">
        <f>D304/103.2</f>
        <v>1.0757338125148315</v>
      </c>
      <c r="E305" s="21">
        <f>E304/106.4</f>
        <v>0.95647108968259997</v>
      </c>
      <c r="F305" s="21">
        <f>F304/119.6</f>
        <v>0.91079872758079838</v>
      </c>
      <c r="G305" s="21">
        <f>G304/105.2</f>
        <v>1.0253572191909839</v>
      </c>
      <c r="H305" s="21">
        <f>H304/105.1</f>
        <v>1.006825900172521</v>
      </c>
      <c r="I305" s="21">
        <f>I304/105.1</f>
        <v>1.0167788046302437</v>
      </c>
      <c r="J305" s="21"/>
      <c r="K305" s="21">
        <f>K304/104.1</f>
        <v>1.0207203000982081</v>
      </c>
      <c r="L305" s="21">
        <f>L304/104.1</f>
        <v>1.0265448128593513</v>
      </c>
      <c r="M305" s="21"/>
      <c r="N305" s="21">
        <f>N304/104.1</f>
        <v>1.0246763243131007</v>
      </c>
      <c r="O305" s="21">
        <f>O304/104.1</f>
        <v>1.0263223489618367</v>
      </c>
    </row>
    <row r="306" spans="1:18" ht="18.75" x14ac:dyDescent="0.2">
      <c r="A306" s="108" t="s">
        <v>364</v>
      </c>
      <c r="B306" s="27" t="s">
        <v>365</v>
      </c>
      <c r="C306" s="5">
        <v>13.2</v>
      </c>
      <c r="D306" s="68">
        <f>D308/D272*100/1000</f>
        <v>11.142602214874298</v>
      </c>
      <c r="E306" s="5">
        <v>3.81</v>
      </c>
      <c r="F306" s="30">
        <v>6</v>
      </c>
      <c r="G306" s="5">
        <v>5.86</v>
      </c>
      <c r="H306" s="5">
        <v>5.86</v>
      </c>
      <c r="I306" s="5">
        <v>5.86</v>
      </c>
      <c r="J306" s="5">
        <f t="shared" ref="J306:M306" si="36">J308/J272*100/1000</f>
        <v>0</v>
      </c>
      <c r="K306" s="5">
        <v>5.22</v>
      </c>
      <c r="L306" s="30">
        <v>5.2</v>
      </c>
      <c r="M306" s="5">
        <f t="shared" si="36"/>
        <v>-32.274623034969522</v>
      </c>
      <c r="N306" s="5">
        <v>5.22</v>
      </c>
      <c r="O306" s="30">
        <v>5.2</v>
      </c>
      <c r="P306" s="105"/>
    </row>
    <row r="307" spans="1:18" ht="37.5" x14ac:dyDescent="0.2">
      <c r="A307" s="108" t="s">
        <v>93</v>
      </c>
      <c r="B307" s="27" t="s">
        <v>67</v>
      </c>
      <c r="C307" s="5">
        <v>1.1000000000000001</v>
      </c>
      <c r="D307" s="97">
        <v>4</v>
      </c>
      <c r="E307" s="133">
        <v>1.53</v>
      </c>
      <c r="F307" s="133">
        <v>1.08</v>
      </c>
      <c r="G307" s="133">
        <v>1.03</v>
      </c>
      <c r="H307" s="133">
        <v>1.03</v>
      </c>
      <c r="I307" s="133">
        <v>1.03</v>
      </c>
      <c r="J307" s="133">
        <v>1.1399999999999999</v>
      </c>
      <c r="K307" s="133">
        <v>1.1399999999999999</v>
      </c>
      <c r="L307" s="133">
        <v>1.1399999999999999</v>
      </c>
      <c r="M307" s="133">
        <v>1.1399999999999999</v>
      </c>
      <c r="N307" s="133">
        <v>1.1399999999999999</v>
      </c>
      <c r="O307" s="133">
        <v>1.1399999999999999</v>
      </c>
    </row>
    <row r="308" spans="1:18" ht="18.75" x14ac:dyDescent="0.2">
      <c r="A308" s="108" t="s">
        <v>94</v>
      </c>
      <c r="B308" s="27" t="s">
        <v>366</v>
      </c>
      <c r="C308" s="24">
        <v>2580</v>
      </c>
      <c r="D308" s="98">
        <v>2123</v>
      </c>
      <c r="E308" s="27">
        <v>707</v>
      </c>
      <c r="F308" s="27">
        <v>1164</v>
      </c>
      <c r="G308" s="27">
        <v>1137</v>
      </c>
      <c r="H308" s="27">
        <v>1137</v>
      </c>
      <c r="I308" s="27">
        <v>1137</v>
      </c>
      <c r="J308" s="27"/>
      <c r="K308" s="27">
        <v>1006</v>
      </c>
      <c r="L308" s="27">
        <v>1006</v>
      </c>
      <c r="M308" s="27">
        <v>1006</v>
      </c>
      <c r="N308" s="27">
        <v>1006</v>
      </c>
      <c r="O308" s="27">
        <v>1006</v>
      </c>
    </row>
    <row r="309" spans="1:18" ht="56.25" x14ac:dyDescent="0.2">
      <c r="A309" s="108" t="s">
        <v>95</v>
      </c>
      <c r="B309" s="27" t="s">
        <v>366</v>
      </c>
      <c r="C309" s="24">
        <v>206</v>
      </c>
      <c r="D309" s="98">
        <v>764</v>
      </c>
      <c r="E309" s="27">
        <v>285</v>
      </c>
      <c r="F309" s="27">
        <v>210</v>
      </c>
      <c r="G309" s="27">
        <v>200</v>
      </c>
      <c r="H309" s="27">
        <v>200</v>
      </c>
      <c r="I309" s="27">
        <v>200</v>
      </c>
      <c r="J309" s="27"/>
      <c r="K309" s="27">
        <v>220</v>
      </c>
      <c r="L309" s="27">
        <v>220</v>
      </c>
      <c r="M309" s="27"/>
      <c r="N309" s="27">
        <v>220</v>
      </c>
      <c r="O309" s="27">
        <v>220</v>
      </c>
    </row>
    <row r="310" spans="1:18" ht="83.25" customHeight="1" x14ac:dyDescent="0.2">
      <c r="A310" s="109" t="s">
        <v>96</v>
      </c>
      <c r="B310" s="27" t="s">
        <v>366</v>
      </c>
      <c r="C310" s="30">
        <v>2</v>
      </c>
      <c r="D310" s="98">
        <v>5.6</v>
      </c>
      <c r="E310" s="27">
        <v>1.4</v>
      </c>
      <c r="F310" s="27">
        <v>1.4</v>
      </c>
      <c r="G310" s="27">
        <v>1.4</v>
      </c>
      <c r="H310" s="27">
        <v>1.4</v>
      </c>
      <c r="I310" s="27">
        <v>1.4</v>
      </c>
      <c r="J310" s="27">
        <v>1.4</v>
      </c>
      <c r="K310" s="27">
        <v>1.4</v>
      </c>
      <c r="L310" s="27">
        <v>1.4</v>
      </c>
      <c r="M310" s="27">
        <v>1.4</v>
      </c>
      <c r="N310" s="27">
        <v>1.4</v>
      </c>
      <c r="O310" s="27">
        <v>1.4</v>
      </c>
    </row>
    <row r="311" spans="1:18" ht="37.5" x14ac:dyDescent="0.2">
      <c r="A311" s="17" t="s">
        <v>123</v>
      </c>
      <c r="B311" s="27" t="s">
        <v>77</v>
      </c>
      <c r="C311" s="45">
        <v>7.4</v>
      </c>
      <c r="D311" s="99">
        <v>7.2</v>
      </c>
      <c r="E311" s="27">
        <v>8.1</v>
      </c>
      <c r="F311" s="27">
        <v>7.9</v>
      </c>
      <c r="G311" s="27">
        <v>8</v>
      </c>
      <c r="H311" s="27">
        <v>8</v>
      </c>
      <c r="I311" s="27">
        <v>8</v>
      </c>
      <c r="J311" s="27">
        <v>8</v>
      </c>
      <c r="K311" s="27">
        <v>8</v>
      </c>
      <c r="L311" s="27">
        <v>8</v>
      </c>
      <c r="M311" s="27">
        <v>8</v>
      </c>
      <c r="N311" s="27">
        <v>8</v>
      </c>
      <c r="O311" s="27">
        <v>8</v>
      </c>
    </row>
    <row r="312" spans="1:18" ht="43.5" customHeight="1" x14ac:dyDescent="0.2">
      <c r="A312" s="10" t="s">
        <v>97</v>
      </c>
      <c r="B312" s="27" t="s">
        <v>49</v>
      </c>
      <c r="C312" s="45">
        <v>3477100</v>
      </c>
      <c r="D312" s="99">
        <v>3755800</v>
      </c>
      <c r="E312" s="134">
        <v>4300000</v>
      </c>
      <c r="F312" s="134">
        <v>4568400</v>
      </c>
      <c r="G312" s="134">
        <v>4990200</v>
      </c>
      <c r="H312" s="134">
        <v>5280500</v>
      </c>
      <c r="I312" s="134">
        <v>5332700</v>
      </c>
      <c r="J312" s="134"/>
      <c r="K312" s="134">
        <v>5610900</v>
      </c>
      <c r="L312" s="134">
        <v>5698700</v>
      </c>
      <c r="M312" s="134"/>
      <c r="N312" s="134">
        <v>5985080</v>
      </c>
      <c r="O312" s="134">
        <v>6088500</v>
      </c>
    </row>
    <row r="313" spans="1:18" ht="37.5" x14ac:dyDescent="0.2">
      <c r="A313" s="16" t="s">
        <v>319</v>
      </c>
      <c r="B313" s="27" t="s">
        <v>363</v>
      </c>
      <c r="C313" s="30">
        <v>113.7</v>
      </c>
      <c r="D313" s="97">
        <f>D312/C312*100</f>
        <v>108.01530010641052</v>
      </c>
      <c r="E313" s="135">
        <f>E312/D312*100</f>
        <v>114.4895894350072</v>
      </c>
      <c r="F313" s="135">
        <f>F312/E312*100</f>
        <v>106.24186046511628</v>
      </c>
      <c r="G313" s="135">
        <f>G312/F312*100</f>
        <v>109.23299185710533</v>
      </c>
      <c r="H313" s="135">
        <f>H312/G312*100</f>
        <v>105.81740210813193</v>
      </c>
      <c r="I313" s="135">
        <f>I312/G312*100</f>
        <v>106.86345236663861</v>
      </c>
      <c r="J313" s="27"/>
      <c r="K313" s="135">
        <f>K312/H312*100</f>
        <v>106.25698324022346</v>
      </c>
      <c r="L313" s="135">
        <f>L312/I312*100</f>
        <v>106.86331501865847</v>
      </c>
      <c r="M313" s="27"/>
      <c r="N313" s="135">
        <f>N312/K312*100</f>
        <v>106.66880536099379</v>
      </c>
      <c r="O313" s="135">
        <f>O312/L312*100</f>
        <v>106.8401565269272</v>
      </c>
    </row>
    <row r="314" spans="1:18" ht="18.75" x14ac:dyDescent="0.2">
      <c r="A314" s="12" t="s">
        <v>311</v>
      </c>
      <c r="B314" s="19"/>
      <c r="C314" s="57"/>
      <c r="D314" s="100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</row>
    <row r="315" spans="1:18" ht="37.5" x14ac:dyDescent="0.3">
      <c r="A315" s="17" t="s">
        <v>98</v>
      </c>
      <c r="B315" s="27" t="s">
        <v>366</v>
      </c>
      <c r="C315" s="58">
        <v>2396</v>
      </c>
      <c r="D315" s="101">
        <v>2289</v>
      </c>
      <c r="E315" s="58">
        <v>2281</v>
      </c>
      <c r="F315" s="58">
        <v>2216</v>
      </c>
      <c r="G315" s="58">
        <v>2126</v>
      </c>
      <c r="H315" s="58">
        <v>2117</v>
      </c>
      <c r="I315" s="58">
        <v>2117</v>
      </c>
      <c r="J315" s="58"/>
      <c r="K315" s="58">
        <v>2108</v>
      </c>
      <c r="L315" s="58">
        <v>2108</v>
      </c>
      <c r="M315" s="58"/>
      <c r="N315" s="58">
        <v>2099</v>
      </c>
      <c r="O315" s="58">
        <v>2099</v>
      </c>
      <c r="R315" s="105"/>
    </row>
    <row r="316" spans="1:18" ht="75" x14ac:dyDescent="0.3">
      <c r="A316" s="17" t="s">
        <v>99</v>
      </c>
      <c r="B316" s="27" t="s">
        <v>366</v>
      </c>
      <c r="C316" s="58">
        <v>5248</v>
      </c>
      <c r="D316" s="101">
        <v>5417</v>
      </c>
      <c r="E316" s="58">
        <v>5576</v>
      </c>
      <c r="F316" s="58">
        <v>5820</v>
      </c>
      <c r="G316" s="58">
        <v>5928</v>
      </c>
      <c r="H316" s="58">
        <v>5920</v>
      </c>
      <c r="I316" s="58">
        <v>5928</v>
      </c>
      <c r="J316" s="58"/>
      <c r="K316" s="58">
        <v>5870</v>
      </c>
      <c r="L316" s="58">
        <v>5878</v>
      </c>
      <c r="M316" s="58"/>
      <c r="N316" s="58">
        <v>5820</v>
      </c>
      <c r="O316" s="58">
        <v>5828</v>
      </c>
    </row>
    <row r="317" spans="1:18" ht="56.25" x14ac:dyDescent="0.3">
      <c r="A317" s="17" t="s">
        <v>100</v>
      </c>
      <c r="B317" s="27" t="s">
        <v>366</v>
      </c>
      <c r="C317" s="58"/>
      <c r="D317" s="101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</row>
    <row r="318" spans="1:18" ht="56.25" x14ac:dyDescent="0.3">
      <c r="A318" s="17" t="s">
        <v>101</v>
      </c>
      <c r="B318" s="27" t="s">
        <v>366</v>
      </c>
      <c r="C318" s="58">
        <v>200</v>
      </c>
      <c r="D318" s="101">
        <v>314</v>
      </c>
      <c r="E318" s="58">
        <v>315</v>
      </c>
      <c r="F318" s="58">
        <v>350</v>
      </c>
      <c r="G318" s="58">
        <v>320</v>
      </c>
      <c r="H318" s="58">
        <v>320</v>
      </c>
      <c r="I318" s="58">
        <v>320</v>
      </c>
      <c r="J318" s="58">
        <v>320</v>
      </c>
      <c r="K318" s="58">
        <v>320</v>
      </c>
      <c r="L318" s="58">
        <v>320</v>
      </c>
      <c r="M318" s="58">
        <v>320</v>
      </c>
      <c r="N318" s="58">
        <v>320</v>
      </c>
      <c r="O318" s="58">
        <v>320</v>
      </c>
    </row>
    <row r="319" spans="1:18" ht="56.25" x14ac:dyDescent="0.3">
      <c r="A319" s="17" t="s">
        <v>102</v>
      </c>
      <c r="B319" s="27" t="s">
        <v>366</v>
      </c>
      <c r="C319" s="58"/>
      <c r="D319" s="101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</row>
    <row r="320" spans="1:18" ht="18.75" x14ac:dyDescent="0.3">
      <c r="A320" s="10" t="s">
        <v>103</v>
      </c>
      <c r="B320" s="19"/>
      <c r="C320" s="59"/>
      <c r="D320" s="101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</row>
    <row r="321" spans="1:15" ht="56.25" x14ac:dyDescent="0.3">
      <c r="A321" s="17" t="s">
        <v>104</v>
      </c>
      <c r="B321" s="27" t="s">
        <v>366</v>
      </c>
      <c r="C321" s="58">
        <v>200</v>
      </c>
      <c r="D321" s="101">
        <v>75</v>
      </c>
      <c r="E321" s="58">
        <v>105</v>
      </c>
      <c r="F321" s="58">
        <v>127</v>
      </c>
      <c r="G321" s="58">
        <v>122</v>
      </c>
      <c r="H321" s="58">
        <v>122</v>
      </c>
      <c r="I321" s="58">
        <v>122</v>
      </c>
      <c r="J321" s="58">
        <v>122</v>
      </c>
      <c r="K321" s="58">
        <v>122</v>
      </c>
      <c r="L321" s="58">
        <v>122</v>
      </c>
      <c r="M321" s="58">
        <v>122</v>
      </c>
      <c r="N321" s="58">
        <v>122</v>
      </c>
      <c r="O321" s="58">
        <v>122</v>
      </c>
    </row>
    <row r="322" spans="1:15" ht="56.25" x14ac:dyDescent="0.3">
      <c r="A322" s="17" t="s">
        <v>105</v>
      </c>
      <c r="B322" s="27" t="s">
        <v>366</v>
      </c>
      <c r="C322" s="58"/>
      <c r="D322" s="101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</row>
    <row r="323" spans="1:15" ht="18.75" x14ac:dyDescent="0.3">
      <c r="A323" s="10" t="s">
        <v>106</v>
      </c>
      <c r="B323" s="19"/>
      <c r="C323" s="60"/>
      <c r="D323" s="102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</row>
    <row r="324" spans="1:15" ht="18.75" x14ac:dyDescent="0.3">
      <c r="A324" s="16" t="s">
        <v>107</v>
      </c>
      <c r="B324" s="19"/>
      <c r="C324" s="60"/>
      <c r="D324" s="102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</row>
    <row r="325" spans="1:15" ht="37.5" x14ac:dyDescent="0.3">
      <c r="A325" s="16" t="s">
        <v>108</v>
      </c>
      <c r="B325" s="4" t="s">
        <v>109</v>
      </c>
      <c r="C325" s="60">
        <v>27.6</v>
      </c>
      <c r="D325" s="102">
        <v>22.4</v>
      </c>
      <c r="E325" s="60">
        <v>19.899999999999999</v>
      </c>
      <c r="F325" s="60">
        <v>17.3</v>
      </c>
      <c r="G325" s="60">
        <v>18.100000000000001</v>
      </c>
      <c r="H325" s="60">
        <v>18.100000000000001</v>
      </c>
      <c r="I325" s="60">
        <v>18.100000000000001</v>
      </c>
      <c r="J325" s="60"/>
      <c r="K325" s="60">
        <v>18.100000000000001</v>
      </c>
      <c r="L325" s="60">
        <v>18.100000000000001</v>
      </c>
      <c r="M325" s="60"/>
      <c r="N325" s="60">
        <v>18.100000000000001</v>
      </c>
      <c r="O325" s="60">
        <v>18.100000000000001</v>
      </c>
    </row>
    <row r="326" spans="1:15" ht="75" x14ac:dyDescent="0.3">
      <c r="A326" s="16" t="s">
        <v>110</v>
      </c>
      <c r="B326" s="4" t="s">
        <v>111</v>
      </c>
      <c r="C326" s="61">
        <v>98.3</v>
      </c>
      <c r="D326" s="102">
        <v>60.5</v>
      </c>
      <c r="E326" s="60">
        <v>60.8</v>
      </c>
      <c r="F326" s="60">
        <v>52.7</v>
      </c>
      <c r="G326" s="60">
        <v>53.1</v>
      </c>
      <c r="H326" s="60">
        <v>53.2</v>
      </c>
      <c r="I326" s="60">
        <v>53.2</v>
      </c>
      <c r="J326" s="60"/>
      <c r="K326" s="60">
        <v>53.4</v>
      </c>
      <c r="L326" s="60">
        <v>53.4</v>
      </c>
      <c r="M326" s="60"/>
      <c r="N326" s="60">
        <v>53.7</v>
      </c>
      <c r="O326" s="60">
        <v>53.7</v>
      </c>
    </row>
    <row r="327" spans="1:15" ht="75" x14ac:dyDescent="0.3">
      <c r="A327" s="16" t="s">
        <v>112</v>
      </c>
      <c r="B327" s="4" t="s">
        <v>111</v>
      </c>
      <c r="C327" s="61">
        <v>61</v>
      </c>
      <c r="D327" s="102">
        <v>72.5</v>
      </c>
      <c r="E327" s="60">
        <v>73</v>
      </c>
      <c r="F327" s="60">
        <v>63.3</v>
      </c>
      <c r="G327" s="60">
        <v>63.7</v>
      </c>
      <c r="H327" s="60">
        <v>63.8</v>
      </c>
      <c r="I327" s="60">
        <v>63.8</v>
      </c>
      <c r="J327" s="60"/>
      <c r="K327" s="60">
        <v>64.099999999999994</v>
      </c>
      <c r="L327" s="60">
        <v>64.099999999999994</v>
      </c>
      <c r="M327" s="60"/>
      <c r="N327" s="60">
        <v>64.400000000000006</v>
      </c>
      <c r="O327" s="60">
        <v>64.400000000000006</v>
      </c>
    </row>
    <row r="328" spans="1:15" ht="75" x14ac:dyDescent="0.3">
      <c r="A328" s="16" t="s">
        <v>113</v>
      </c>
      <c r="B328" s="4" t="s">
        <v>134</v>
      </c>
      <c r="C328" s="61">
        <v>918</v>
      </c>
      <c r="D328" s="102">
        <v>1223</v>
      </c>
      <c r="E328" s="60">
        <v>1073</v>
      </c>
      <c r="F328" s="60">
        <v>1103</v>
      </c>
      <c r="G328" s="60">
        <v>1150</v>
      </c>
      <c r="H328" s="60">
        <v>1155</v>
      </c>
      <c r="I328" s="60">
        <v>1155</v>
      </c>
      <c r="J328" s="60"/>
      <c r="K328" s="60">
        <v>1160</v>
      </c>
      <c r="L328" s="60">
        <v>1160</v>
      </c>
      <c r="M328" s="60"/>
      <c r="N328" s="60">
        <v>1165</v>
      </c>
      <c r="O328" s="60">
        <v>1165</v>
      </c>
    </row>
    <row r="329" spans="1:15" ht="75" x14ac:dyDescent="0.3">
      <c r="A329" s="16" t="s">
        <v>114</v>
      </c>
      <c r="B329" s="6" t="s">
        <v>115</v>
      </c>
      <c r="C329" s="60">
        <v>124.8</v>
      </c>
      <c r="D329" s="102">
        <v>141.80000000000001</v>
      </c>
      <c r="E329" s="60">
        <v>154.19999999999999</v>
      </c>
      <c r="F329" s="60">
        <v>153.80000000000001</v>
      </c>
      <c r="G329" s="60">
        <v>153.80000000000001</v>
      </c>
      <c r="H329" s="60">
        <v>153.80000000000001</v>
      </c>
      <c r="I329" s="60">
        <v>153.80000000000001</v>
      </c>
      <c r="J329" s="60">
        <v>153.80000000000001</v>
      </c>
      <c r="K329" s="60">
        <v>153.80000000000001</v>
      </c>
      <c r="L329" s="60">
        <v>153.80000000000001</v>
      </c>
      <c r="M329" s="60">
        <v>153.80000000000001</v>
      </c>
      <c r="N329" s="60">
        <v>153.80000000000001</v>
      </c>
      <c r="O329" s="60">
        <v>153.80000000000001</v>
      </c>
    </row>
    <row r="330" spans="1:15" ht="18.75" x14ac:dyDescent="0.3">
      <c r="A330" s="16" t="s">
        <v>116</v>
      </c>
      <c r="B330" s="4"/>
      <c r="C330" s="60"/>
      <c r="D330" s="102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</row>
    <row r="331" spans="1:15" ht="56.25" x14ac:dyDescent="0.3">
      <c r="A331" s="16" t="s">
        <v>117</v>
      </c>
      <c r="B331" s="6" t="s">
        <v>118</v>
      </c>
      <c r="C331" s="60">
        <v>4.2000000000000003E-2</v>
      </c>
      <c r="D331" s="102">
        <v>3.5000000000000003E-2</v>
      </c>
      <c r="E331" s="60">
        <v>4.7E-2</v>
      </c>
      <c r="F331" s="60">
        <v>4.3999999999999997E-2</v>
      </c>
      <c r="G331" s="60">
        <v>5.0999999999999997E-2</v>
      </c>
      <c r="H331" s="60">
        <v>5.2999999999999999E-2</v>
      </c>
      <c r="I331" s="60">
        <v>5.2999999999999999E-2</v>
      </c>
      <c r="J331" s="60">
        <v>5.2999999999999999E-2</v>
      </c>
      <c r="K331" s="60">
        <v>5.2999999999999999E-2</v>
      </c>
      <c r="L331" s="60">
        <v>5.2999999999999999E-2</v>
      </c>
      <c r="M331" s="60">
        <v>5.2999999999999999E-2</v>
      </c>
      <c r="N331" s="60">
        <v>5.2999999999999999E-2</v>
      </c>
      <c r="O331" s="60">
        <v>5.2999999999999999E-2</v>
      </c>
    </row>
    <row r="332" spans="1:15" ht="56.25" x14ac:dyDescent="0.3">
      <c r="A332" s="16" t="s">
        <v>119</v>
      </c>
      <c r="B332" s="6" t="s">
        <v>118</v>
      </c>
      <c r="C332" s="60">
        <v>0.16900000000000001</v>
      </c>
      <c r="D332" s="103">
        <v>0.17</v>
      </c>
      <c r="E332" s="136">
        <v>0.19500000000000001</v>
      </c>
      <c r="F332" s="136">
        <v>0.19600000000000001</v>
      </c>
      <c r="G332" s="136">
        <v>0.21</v>
      </c>
      <c r="H332" s="60">
        <v>0.21199999999999999</v>
      </c>
      <c r="I332" s="60">
        <v>0.21199999999999999</v>
      </c>
      <c r="J332" s="60"/>
      <c r="K332" s="60">
        <v>0.21199999999999999</v>
      </c>
      <c r="L332" s="60">
        <v>0.21199999999999999</v>
      </c>
      <c r="M332" s="60"/>
      <c r="N332" s="60">
        <v>0.215</v>
      </c>
      <c r="O332" s="60">
        <v>0.215</v>
      </c>
    </row>
  </sheetData>
  <mergeCells count="16">
    <mergeCell ref="E2:G2"/>
    <mergeCell ref="S128:V128"/>
    <mergeCell ref="D8:D10"/>
    <mergeCell ref="E8:E10"/>
    <mergeCell ref="G8:G10"/>
    <mergeCell ref="A3:O3"/>
    <mergeCell ref="A4:O4"/>
    <mergeCell ref="H8:J8"/>
    <mergeCell ref="K8:M8"/>
    <mergeCell ref="B7:B10"/>
    <mergeCell ref="N8:O8"/>
    <mergeCell ref="A5:O5"/>
    <mergeCell ref="H7:O7"/>
    <mergeCell ref="A7:A10"/>
    <mergeCell ref="C8:C10"/>
    <mergeCell ref="F8:F10"/>
  </mergeCells>
  <pageMargins left="0.19685039370078741" right="0.19685039370078741" top="0.39370078740157483" bottom="0.19685039370078741" header="0" footer="0"/>
  <pageSetup paperSize="9" scale="5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2п исправл</vt:lpstr>
      <vt:lpstr>'форма 2п исправл'!Заголовки_для_печати</vt:lpstr>
    </vt:vector>
  </TitlesOfParts>
  <Company>economy.gov.ru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YakuninaOI</cp:lastModifiedBy>
  <cp:lastPrinted>2023-08-29T06:11:47Z</cp:lastPrinted>
  <dcterms:created xsi:type="dcterms:W3CDTF">2013-05-25T16:45:04Z</dcterms:created>
  <dcterms:modified xsi:type="dcterms:W3CDTF">2023-09-15T01:59:19Z</dcterms:modified>
</cp:coreProperties>
</file>