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uninaOI\Desktop\Оксана 2021\Прогноз социально-экономич.развития\Прогноз на 2025г и на 2026-2027гг\Публичные обсуждения\Публикация на сайт\"/>
    </mc:Choice>
  </mc:AlternateContent>
  <bookViews>
    <workbookView xWindow="0" yWindow="0" windowWidth="28710" windowHeight="11760" tabRatio="850"/>
  </bookViews>
  <sheets>
    <sheet name="форма 2п исправл" sheetId="3" r:id="rId1"/>
  </sheets>
  <definedNames>
    <definedName name="_xlnm.Print_Titles" localSheetId="0">'форма 2п исправл'!$8:$10</definedName>
  </definedNames>
  <calcPr calcId="152511" concurrentCalc="0"/>
</workbook>
</file>

<file path=xl/calcChain.xml><?xml version="1.0" encoding="utf-8"?>
<calcChain xmlns="http://schemas.openxmlformats.org/spreadsheetml/2006/main">
  <c r="P221" i="3" l="1"/>
  <c r="O221" i="3"/>
  <c r="M221" i="3"/>
  <c r="L221" i="3"/>
  <c r="J221" i="3"/>
  <c r="I221" i="3"/>
  <c r="H221" i="3"/>
  <c r="G221" i="3"/>
  <c r="O229" i="3"/>
  <c r="O224" i="3"/>
  <c r="O223" i="3"/>
  <c r="L229" i="3"/>
  <c r="L224" i="3"/>
  <c r="L223" i="3"/>
  <c r="I233" i="3"/>
  <c r="I232" i="3"/>
  <c r="I231" i="3"/>
  <c r="I229" i="3"/>
  <c r="I224" i="3"/>
  <c r="I223" i="3"/>
  <c r="H223" i="3"/>
  <c r="J233" i="3"/>
  <c r="J232" i="3"/>
  <c r="J231" i="3"/>
  <c r="J229" i="3"/>
  <c r="J224" i="3"/>
  <c r="K224" i="3"/>
  <c r="M224" i="3"/>
  <c r="N224" i="3"/>
  <c r="P224" i="3"/>
  <c r="H224" i="3"/>
  <c r="I238" i="3"/>
  <c r="I247" i="3"/>
  <c r="I248" i="3"/>
  <c r="I236" i="3"/>
  <c r="I257" i="3"/>
  <c r="I261" i="3"/>
  <c r="I263" i="3"/>
  <c r="I264" i="3"/>
  <c r="I255" i="3"/>
  <c r="I270" i="3"/>
  <c r="I252" i="3"/>
  <c r="I251" i="3"/>
  <c r="J238" i="3"/>
  <c r="J247" i="3"/>
  <c r="J248" i="3"/>
  <c r="J236" i="3"/>
  <c r="J257" i="3"/>
  <c r="J261" i="3"/>
  <c r="J263" i="3"/>
  <c r="J264" i="3"/>
  <c r="J255" i="3"/>
  <c r="J270" i="3"/>
  <c r="J252" i="3"/>
  <c r="J251" i="3"/>
  <c r="O238" i="3"/>
  <c r="O247" i="3"/>
  <c r="O236" i="3"/>
  <c r="O255" i="3"/>
  <c r="O270" i="3"/>
  <c r="L238" i="3"/>
  <c r="L247" i="3"/>
  <c r="L236" i="3"/>
  <c r="L257" i="3"/>
  <c r="L263" i="3"/>
  <c r="L264" i="3"/>
  <c r="L255" i="3"/>
  <c r="L270" i="3"/>
  <c r="M236" i="3"/>
  <c r="G247" i="3"/>
  <c r="G236" i="3"/>
  <c r="H236" i="3"/>
  <c r="P238" i="3"/>
  <c r="P247" i="3"/>
  <c r="P236" i="3"/>
  <c r="P255" i="3"/>
  <c r="P270" i="3"/>
  <c r="N247" i="3"/>
  <c r="N236" i="3"/>
  <c r="N270" i="3"/>
  <c r="M238" i="3"/>
  <c r="M247" i="3"/>
  <c r="M257" i="3"/>
  <c r="M263" i="3"/>
  <c r="M264" i="3"/>
  <c r="M255" i="3"/>
  <c r="M270" i="3"/>
  <c r="K247" i="3"/>
  <c r="K236" i="3"/>
  <c r="K255" i="3"/>
  <c r="K270" i="3"/>
  <c r="H238" i="3"/>
  <c r="H247" i="3"/>
  <c r="H257" i="3"/>
  <c r="H259" i="3"/>
  <c r="H260" i="3"/>
  <c r="H264" i="3"/>
  <c r="H255" i="3"/>
  <c r="H270" i="3"/>
  <c r="G238" i="3"/>
  <c r="G255" i="3"/>
  <c r="G270" i="3"/>
  <c r="G31" i="3"/>
  <c r="H303" i="3"/>
  <c r="P306" i="3"/>
  <c r="O306" i="3"/>
  <c r="M306" i="3"/>
  <c r="L306" i="3"/>
  <c r="H304" i="3"/>
  <c r="J305" i="3"/>
  <c r="J306" i="3"/>
  <c r="I305" i="3"/>
  <c r="I306" i="3"/>
  <c r="H305" i="3"/>
  <c r="H306" i="3"/>
  <c r="G306" i="3"/>
  <c r="P305" i="3"/>
  <c r="O305" i="3"/>
  <c r="M305" i="3"/>
  <c r="L305" i="3"/>
  <c r="G305" i="3"/>
  <c r="G314" i="3"/>
  <c r="H314" i="3"/>
  <c r="P314" i="3"/>
  <c r="O314" i="3"/>
  <c r="M314" i="3"/>
  <c r="L314" i="3"/>
  <c r="J314" i="3"/>
  <c r="I314" i="3"/>
  <c r="G223" i="3"/>
  <c r="F223" i="3"/>
  <c r="M223" i="3"/>
  <c r="H229" i="3"/>
  <c r="M229" i="3"/>
  <c r="G220" i="3"/>
  <c r="H220" i="3"/>
  <c r="I220" i="3"/>
  <c r="G229" i="3"/>
  <c r="J223" i="3"/>
  <c r="J220" i="3"/>
  <c r="K223" i="3"/>
  <c r="K220" i="3"/>
  <c r="L220" i="3"/>
  <c r="M220" i="3"/>
  <c r="N223" i="3"/>
  <c r="N220" i="3"/>
  <c r="O220" i="3"/>
  <c r="K229" i="3"/>
  <c r="N229" i="3"/>
  <c r="G273" i="3"/>
  <c r="G307" i="3"/>
  <c r="G280" i="3"/>
  <c r="G302" i="3"/>
  <c r="P141" i="3"/>
  <c r="O141" i="3"/>
  <c r="M141" i="3"/>
  <c r="L141" i="3"/>
  <c r="J141" i="3"/>
  <c r="I141" i="3"/>
  <c r="I137" i="3"/>
  <c r="F304" i="3"/>
  <c r="G204" i="3"/>
  <c r="G210" i="3"/>
  <c r="F307" i="3"/>
  <c r="K273" i="3"/>
  <c r="L273" i="3"/>
  <c r="M273" i="3"/>
  <c r="N273" i="3"/>
  <c r="O273" i="3"/>
  <c r="P273" i="3"/>
  <c r="I273" i="3"/>
  <c r="J273" i="3"/>
  <c r="H273" i="3"/>
  <c r="G303" i="3"/>
  <c r="H280" i="3"/>
  <c r="L280" i="3"/>
  <c r="F303" i="3"/>
  <c r="F280" i="3"/>
  <c r="P207" i="3"/>
  <c r="M207" i="3"/>
  <c r="J207" i="3"/>
  <c r="H207" i="3"/>
  <c r="I206" i="3"/>
  <c r="G207" i="3"/>
  <c r="I31" i="3"/>
  <c r="P40" i="3"/>
  <c r="O40" i="3"/>
  <c r="M40" i="3"/>
  <c r="L40" i="3"/>
  <c r="J40" i="3"/>
  <c r="I40" i="3"/>
  <c r="H40" i="3"/>
  <c r="P43" i="3"/>
  <c r="O43" i="3"/>
  <c r="M43" i="3"/>
  <c r="L43" i="3"/>
  <c r="J43" i="3"/>
  <c r="I43" i="3"/>
  <c r="P50" i="3"/>
  <c r="O50" i="3"/>
  <c r="M50" i="3"/>
  <c r="L50" i="3"/>
  <c r="J50" i="3"/>
  <c r="I50" i="3"/>
  <c r="I131" i="3"/>
  <c r="L129" i="3"/>
  <c r="O129" i="3"/>
  <c r="J131" i="3"/>
  <c r="H131" i="3"/>
  <c r="M131" i="3"/>
  <c r="P131" i="3"/>
  <c r="M127" i="3"/>
  <c r="L127" i="3"/>
  <c r="J127" i="3"/>
  <c r="H127" i="3"/>
  <c r="G127" i="3"/>
  <c r="I127" i="3"/>
  <c r="P125" i="3"/>
  <c r="G304" i="3"/>
  <c r="G141" i="3"/>
  <c r="G138" i="3"/>
  <c r="G133" i="3"/>
  <c r="G134" i="3"/>
  <c r="G131" i="3"/>
  <c r="G50" i="3"/>
  <c r="G43" i="3"/>
  <c r="G40" i="3"/>
  <c r="G29" i="3"/>
  <c r="G26" i="3"/>
  <c r="G27" i="3"/>
  <c r="G23" i="3"/>
  <c r="I280" i="3"/>
  <c r="I307" i="3"/>
  <c r="H29" i="3"/>
  <c r="H31" i="3"/>
  <c r="H133" i="3"/>
  <c r="H138" i="3"/>
  <c r="H141" i="3"/>
  <c r="H134" i="3"/>
  <c r="J29" i="3"/>
  <c r="J26" i="3"/>
  <c r="P223" i="3"/>
  <c r="F207" i="3"/>
  <c r="E207" i="3"/>
  <c r="L206" i="3"/>
  <c r="O206" i="3"/>
  <c r="I203" i="3"/>
  <c r="F220" i="3"/>
  <c r="F221" i="3"/>
  <c r="F255" i="3"/>
  <c r="F270" i="3"/>
  <c r="F247" i="3"/>
  <c r="P229" i="3"/>
  <c r="H204" i="3"/>
  <c r="H26" i="3"/>
  <c r="H50" i="3"/>
  <c r="H27" i="3"/>
  <c r="H43" i="3"/>
  <c r="H307" i="3"/>
  <c r="F314" i="3"/>
  <c r="I304" i="3"/>
  <c r="L304" i="3"/>
  <c r="E304" i="3"/>
  <c r="J304" i="3"/>
  <c r="K304" i="3"/>
  <c r="M304" i="3"/>
  <c r="N304" i="3"/>
  <c r="O304" i="3"/>
  <c r="P304" i="3"/>
  <c r="D304" i="3"/>
  <c r="J280" i="3"/>
  <c r="M280" i="3"/>
  <c r="P280" i="3"/>
  <c r="E307" i="3"/>
  <c r="E280" i="3"/>
  <c r="F273" i="3"/>
  <c r="E273" i="3"/>
  <c r="E303" i="3"/>
  <c r="F302" i="3"/>
  <c r="E270" i="3"/>
  <c r="L137" i="3"/>
  <c r="O137" i="3"/>
  <c r="J137" i="3"/>
  <c r="M137" i="3"/>
  <c r="P137" i="3"/>
  <c r="F305" i="3"/>
  <c r="F306" i="3"/>
  <c r="H210" i="3"/>
  <c r="F210" i="3"/>
  <c r="F204" i="3"/>
  <c r="F141" i="3"/>
  <c r="F138" i="3"/>
  <c r="F134" i="3"/>
  <c r="F131" i="3"/>
  <c r="F127" i="3"/>
  <c r="F50" i="3"/>
  <c r="F43" i="3"/>
  <c r="F40" i="3"/>
  <c r="F29" i="3"/>
  <c r="F31" i="3"/>
  <c r="F229" i="3"/>
  <c r="E223" i="3"/>
  <c r="E204" i="3"/>
  <c r="E138" i="3"/>
  <c r="F133" i="3"/>
  <c r="E127" i="3"/>
  <c r="H302" i="3"/>
  <c r="F26" i="3"/>
  <c r="F27" i="3"/>
  <c r="D273" i="3"/>
  <c r="E221" i="3"/>
  <c r="D307" i="3"/>
  <c r="P210" i="3"/>
  <c r="M210" i="3"/>
  <c r="J210" i="3"/>
  <c r="J204" i="3"/>
  <c r="E29" i="3"/>
  <c r="E26" i="3"/>
  <c r="E236" i="3"/>
  <c r="D302" i="3"/>
  <c r="E247" i="3"/>
  <c r="E255" i="3"/>
  <c r="D305" i="3"/>
  <c r="D306" i="3"/>
  <c r="D280" i="3"/>
  <c r="D303" i="3"/>
  <c r="E31" i="3"/>
  <c r="P220" i="3"/>
  <c r="E314" i="3"/>
  <c r="E305" i="3"/>
  <c r="E306" i="3"/>
  <c r="E302" i="3"/>
  <c r="E229" i="3"/>
  <c r="D223" i="3"/>
  <c r="D220" i="3"/>
  <c r="E210" i="3"/>
  <c r="E141" i="3"/>
  <c r="E133" i="3"/>
  <c r="E134" i="3"/>
  <c r="E131" i="3"/>
  <c r="E50" i="3"/>
  <c r="E43" i="3"/>
  <c r="E40" i="3"/>
  <c r="O280" i="3"/>
  <c r="N280" i="3"/>
  <c r="K280" i="3"/>
  <c r="P302" i="3"/>
  <c r="P303" i="3"/>
  <c r="O302" i="3"/>
  <c r="O303" i="3"/>
  <c r="N302" i="3"/>
  <c r="N303" i="3"/>
  <c r="M302" i="3"/>
  <c r="M303" i="3"/>
  <c r="L302" i="3"/>
  <c r="L303" i="3"/>
  <c r="K302" i="3"/>
  <c r="K303" i="3"/>
  <c r="J302" i="3"/>
  <c r="J303" i="3"/>
  <c r="I302" i="3"/>
  <c r="I303" i="3"/>
  <c r="I209" i="3"/>
  <c r="L209" i="3"/>
  <c r="O209" i="3"/>
  <c r="P204" i="3"/>
  <c r="M204" i="3"/>
  <c r="N134" i="3"/>
  <c r="K134" i="3"/>
  <c r="P29" i="3"/>
  <c r="M29" i="3"/>
  <c r="N26" i="3"/>
  <c r="K26" i="3"/>
  <c r="D50" i="3"/>
  <c r="D314" i="3"/>
  <c r="C306" i="3"/>
  <c r="C303" i="3"/>
  <c r="C273" i="3"/>
  <c r="D229" i="3"/>
  <c r="C229" i="3"/>
  <c r="C223" i="3"/>
  <c r="D221" i="3"/>
  <c r="C221" i="3"/>
  <c r="D210" i="3"/>
  <c r="C210" i="3"/>
  <c r="D204" i="3"/>
  <c r="C204" i="3"/>
  <c r="D141" i="3"/>
  <c r="C141" i="3"/>
  <c r="D138" i="3"/>
  <c r="C138" i="3"/>
  <c r="D134" i="3"/>
  <c r="C134" i="3"/>
  <c r="D131" i="3"/>
  <c r="C131" i="3"/>
  <c r="D127" i="3"/>
  <c r="C127" i="3"/>
  <c r="C50" i="3"/>
  <c r="D43" i="3"/>
  <c r="C43" i="3"/>
  <c r="D40" i="3"/>
  <c r="C40" i="3"/>
  <c r="D29" i="3"/>
  <c r="D26" i="3"/>
  <c r="D31" i="3"/>
  <c r="D27" i="3"/>
  <c r="C29" i="3"/>
  <c r="C26" i="3"/>
  <c r="C31" i="3"/>
  <c r="K27" i="3"/>
  <c r="N27" i="3"/>
  <c r="I133" i="3"/>
  <c r="L203" i="3"/>
  <c r="O203" i="3"/>
  <c r="I29" i="3"/>
  <c r="O29" i="3"/>
  <c r="M31" i="3"/>
  <c r="M133" i="3"/>
  <c r="M134" i="3"/>
  <c r="J133" i="3"/>
  <c r="J134" i="3"/>
  <c r="I134" i="3"/>
  <c r="P31" i="3"/>
  <c r="L29" i="3"/>
  <c r="J31" i="3"/>
  <c r="E27" i="3"/>
  <c r="C27" i="3"/>
  <c r="O31" i="3"/>
  <c r="L133" i="3"/>
  <c r="L134" i="3"/>
  <c r="P133" i="3"/>
  <c r="P134" i="3"/>
  <c r="L31" i="3"/>
  <c r="O133" i="3"/>
  <c r="O134" i="3"/>
  <c r="J27" i="3"/>
  <c r="M26" i="3"/>
  <c r="M27" i="3"/>
  <c r="I26" i="3"/>
  <c r="P26" i="3"/>
  <c r="P27" i="3"/>
  <c r="I27" i="3"/>
  <c r="P307" i="3"/>
  <c r="J307" i="3"/>
  <c r="O307" i="3"/>
  <c r="K307" i="3"/>
  <c r="N307" i="3"/>
  <c r="L307" i="3"/>
  <c r="M307" i="3"/>
  <c r="L26" i="3"/>
  <c r="L27" i="3"/>
  <c r="O125" i="3"/>
  <c r="O26" i="3"/>
  <c r="O27" i="3"/>
</calcChain>
</file>

<file path=xl/sharedStrings.xml><?xml version="1.0" encoding="utf-8"?>
<sst xmlns="http://schemas.openxmlformats.org/spreadsheetml/2006/main" count="648" uniqueCount="379">
  <si>
    <t>в том числе по направлениям:</t>
  </si>
  <si>
    <t>налог на доходы физических лиц</t>
  </si>
  <si>
    <t>налог, взимаемый в связи с применением упрощенной системы налогообложения</t>
  </si>
  <si>
    <t>налог на имущество физических лиц</t>
  </si>
  <si>
    <t>налог на имущество организаций</t>
  </si>
  <si>
    <t>земельный налог</t>
  </si>
  <si>
    <t xml:space="preserve">Неналоговые доходы - всего </t>
  </si>
  <si>
    <t>Продукция сельского хозяйства</t>
  </si>
  <si>
    <t>млн. руб.</t>
  </si>
  <si>
    <t>Индекс производства продукции сельского хозяйства</t>
  </si>
  <si>
    <t>Индекс-дефлятор продукции сельского хозяйства в хозяйствах всех категорий</t>
  </si>
  <si>
    <t>Продукция сельского хозяйства в хозяйствах всех категорий, в том числе:</t>
  </si>
  <si>
    <t>Продукция растениеводства</t>
  </si>
  <si>
    <t xml:space="preserve">млн.руб. </t>
  </si>
  <si>
    <t>Индекс производства продукции растениеводства</t>
  </si>
  <si>
    <t>Индекс-дефлятор продукции растениеводства</t>
  </si>
  <si>
    <t>Продукция животноводства</t>
  </si>
  <si>
    <t>Индекс производства продукции животноводства</t>
  </si>
  <si>
    <t>Индекс-дефлятор продукции животноводства</t>
  </si>
  <si>
    <t>в том числе:</t>
  </si>
  <si>
    <t>шт.</t>
  </si>
  <si>
    <t>тыс. тонн</t>
  </si>
  <si>
    <t>Скот и птица на убой (в живом весе)</t>
  </si>
  <si>
    <t>Молоко</t>
  </si>
  <si>
    <t>Яйца</t>
  </si>
  <si>
    <t>млн.шт.</t>
  </si>
  <si>
    <t>млн. куб. м</t>
  </si>
  <si>
    <t>Уголь</t>
  </si>
  <si>
    <t>млн.тонн</t>
  </si>
  <si>
    <t>Газ природный и попутный</t>
  </si>
  <si>
    <t>млрд.куб.м.</t>
  </si>
  <si>
    <t>Мясо и субпродукты пищевые домашней птицы</t>
  </si>
  <si>
    <t>тыс. дкл</t>
  </si>
  <si>
    <t>Водка</t>
  </si>
  <si>
    <t>млн. кв. м</t>
  </si>
  <si>
    <t xml:space="preserve">Обувь  </t>
  </si>
  <si>
    <t>млн.пар</t>
  </si>
  <si>
    <t>Бумага</t>
  </si>
  <si>
    <t>Бензин автомобильный</t>
  </si>
  <si>
    <t>Топливо дизельное</t>
  </si>
  <si>
    <t>Масла нефтяные смазочные</t>
  </si>
  <si>
    <t>Мазут топочный</t>
  </si>
  <si>
    <t>тыс.тонн</t>
  </si>
  <si>
    <t>Полимеры этилена в первичных формах</t>
  </si>
  <si>
    <t>тонн</t>
  </si>
  <si>
    <t>Кирпич строительный (включая камни) из цемента, бетона или искусственного камня</t>
  </si>
  <si>
    <t>млн. условных кирпичей</t>
  </si>
  <si>
    <t>тыс. шт.</t>
  </si>
  <si>
    <t>Холодильники и морозильники бытовые</t>
  </si>
  <si>
    <t>тыс. руб.</t>
  </si>
  <si>
    <t>Автомобили грузовые (включая шасси)</t>
  </si>
  <si>
    <t>Автомобили легковые</t>
  </si>
  <si>
    <t>Электроэнергия</t>
  </si>
  <si>
    <t>млрд. кВт. ч.</t>
  </si>
  <si>
    <t>в том числе произведенная</t>
  </si>
  <si>
    <t>атомными электростанциями</t>
  </si>
  <si>
    <t>тепловыми электростанциями</t>
  </si>
  <si>
    <t>гидроэлектростанциями</t>
  </si>
  <si>
    <t>Объем работ, выполненных по виду экономической деятельности "Строительство" (Раздел F)</t>
  </si>
  <si>
    <t>акцизы</t>
  </si>
  <si>
    <t>в ценах соответствующих лет; млн. руб.</t>
  </si>
  <si>
    <t>Индекс производства по виду деятельности "Строительство" (Раздел F)</t>
  </si>
  <si>
    <t>% к предыдущему году в сопоставимых ценах</t>
  </si>
  <si>
    <t>Индекс-дефлятор по объему работ, выполненных по виду деятельности "строительство" (Раздел F)</t>
  </si>
  <si>
    <t>Ввод в действие жилых домов</t>
  </si>
  <si>
    <t>тыс. кв. м. в общей площади</t>
  </si>
  <si>
    <t>Удельный вес жилых домов, построенных населением</t>
  </si>
  <si>
    <t>%</t>
  </si>
  <si>
    <t>3. Торговля и услуги населению</t>
  </si>
  <si>
    <t>Индекс потребительских цен за период с начала года</t>
  </si>
  <si>
    <t>к соответствующему периоду предыдущего года, %</t>
  </si>
  <si>
    <t>Оборот розничной торговли</t>
  </si>
  <si>
    <t>Индекс-дефлятор оборота розничной торговли</t>
  </si>
  <si>
    <t>Оборот общественного питания</t>
  </si>
  <si>
    <t>Объем платных услуг населению</t>
  </si>
  <si>
    <t>Индекс-дефлятор объема платных услуг</t>
  </si>
  <si>
    <t>единиц</t>
  </si>
  <si>
    <t>тыс. чел.</t>
  </si>
  <si>
    <t xml:space="preserve">млрд. руб. </t>
  </si>
  <si>
    <t>Инвестиции в основной капитал</t>
  </si>
  <si>
    <t>Индекс физического объема инвестиций в основной капитал</t>
  </si>
  <si>
    <t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- всего</t>
  </si>
  <si>
    <t>Индекс физического объема</t>
  </si>
  <si>
    <t>Распределение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</si>
  <si>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>Собственные средства</t>
  </si>
  <si>
    <t>млн. рублей</t>
  </si>
  <si>
    <t>Заемные средства других организаций</t>
  </si>
  <si>
    <t>Бюджетные средства</t>
  </si>
  <si>
    <t>Прочие</t>
  </si>
  <si>
    <t>млн.руб.</t>
  </si>
  <si>
    <t>образование</t>
  </si>
  <si>
    <t>социальная политика</t>
  </si>
  <si>
    <t xml:space="preserve"> </t>
  </si>
  <si>
    <t>Уровень зарегистрированной безработицы (на конец года)</t>
  </si>
  <si>
    <t>Численность безработных (по методологии МОТ)</t>
  </si>
  <si>
    <t>Численность безработных, зарегистрированных в  государственных учреждениях службы занятости населения (на конец года)</t>
  </si>
  <si>
    <t>Численность незанятых граждан, зарегистрированных в государственных учреждениях службы занятости населения, в расчете на одну заявленную вакансию (на конец года)</t>
  </si>
  <si>
    <t>Фонд начисленной заработной платы всех работников</t>
  </si>
  <si>
    <t>Численность детей в дошкольных образовательных учреждениях</t>
  </si>
  <si>
    <t xml:space="preserve">Численность обучающихся общеобразовательных учреждениях (без вечерних (сменных) общеобразовательных учреждениях (на начало учебного года) </t>
  </si>
  <si>
    <t>Численность обучающихся в образовательных учреждений начального профессионального образования</t>
  </si>
  <si>
    <t>Численность студентов образовательных учреждений среднего профессионального образования (на начало учебного года)</t>
  </si>
  <si>
    <t>Численность студентов образовательных учреждений высшего профессионального образования (на начало учебного года)</t>
  </si>
  <si>
    <t>Выпуск специалистов:</t>
  </si>
  <si>
    <t>Выпуск специалистов образовательными учреждениями среднего профессионального образования</t>
  </si>
  <si>
    <t>Выпуск специалистов образовательными учреждениями высшего профессионального образования</t>
  </si>
  <si>
    <t>Обеспеченность</t>
  </si>
  <si>
    <t xml:space="preserve">Обеспеченность: </t>
  </si>
  <si>
    <t>больничными койками на 10 000 человек населения</t>
  </si>
  <si>
    <t xml:space="preserve"> коек </t>
  </si>
  <si>
    <t>общедоступными  библиотеками</t>
  </si>
  <si>
    <t>учрежд. на 100 тыс.населения</t>
  </si>
  <si>
    <t>учреждениями культурно-досугового типа</t>
  </si>
  <si>
    <t>дошкольными образовательными учреждениями</t>
  </si>
  <si>
    <t>мощностью амбулаторно-поликлинических учреждений на 10 000 человек населения</t>
  </si>
  <si>
    <t>на конец года; посещений в смену</t>
  </si>
  <si>
    <t>Численность:</t>
  </si>
  <si>
    <t>врачей всех специальностей</t>
  </si>
  <si>
    <t>на конец года; тыс. чел.</t>
  </si>
  <si>
    <t>среднего медицинского персонала</t>
  </si>
  <si>
    <t xml:space="preserve">Число выбывших с территории региона </t>
  </si>
  <si>
    <t>Число прибывших на территорию региона</t>
  </si>
  <si>
    <t>% к предыдущему году в действующих ценах</t>
  </si>
  <si>
    <t>Среднесписочная численность работников организаций (без внешних совместителей)</t>
  </si>
  <si>
    <t>Безвозмездные поступления</t>
  </si>
  <si>
    <t>дотации на выравнивание бюджетной обеспеченности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</si>
  <si>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</si>
  <si>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</si>
  <si>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</si>
  <si>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</si>
  <si>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</si>
  <si>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</si>
  <si>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здравоохранение</t>
  </si>
  <si>
    <t>физическая культура и спорт</t>
  </si>
  <si>
    <t>мест на 1000 детей в возрасте 1-6 лет</t>
  </si>
  <si>
    <t>Единица измерения</t>
  </si>
  <si>
    <t>отчет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</si>
  <si>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</si>
  <si>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</si>
  <si>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</si>
  <si>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</si>
  <si>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</si>
  <si>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</si>
  <si>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</si>
  <si>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</si>
  <si>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</si>
  <si>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Коэффициент естественного прироста населения</t>
  </si>
  <si>
    <t>на 1000 человек населения</t>
  </si>
  <si>
    <t>Коэффициент миграционного прироста</t>
  </si>
  <si>
    <t>на 10 000 человек населения</t>
  </si>
  <si>
    <t>2. Производство товаров и услуг</t>
  </si>
  <si>
    <t xml:space="preserve">млн. руб. </t>
  </si>
  <si>
    <t xml:space="preserve">Индекс промышленного производства </t>
  </si>
  <si>
    <t>Добыча полезных ископаемых</t>
  </si>
  <si>
    <t>Обрабатывающие производства</t>
  </si>
  <si>
    <t>Налоговые и неналоговые доходы - всего</t>
  </si>
  <si>
    <t>Индекс потребительских цен на продукцию общественного питания за период с начала года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</si>
  <si>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</si>
  <si>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</si>
  <si>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</si>
  <si>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</si>
  <si>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Индекс-дефлятор отрузки - РАЗДЕЛ B: Добыча полезных ископаемых</t>
  </si>
  <si>
    <t>Индекс производства - РАЗДЕЛ B: Добыча полезных ископаемых</t>
  </si>
  <si>
    <t>Объем отгруженных товаров собственного производства, выполненных работ и услуг собственными силами - 05 Добыча угля</t>
  </si>
  <si>
    <t>Индекс-дефлятор отрузки - 05 Добыча угля</t>
  </si>
  <si>
    <t>Индекс производства - 05 Добыча угля</t>
  </si>
  <si>
    <t>Объем отгруженных товаров собственного производства, выполненных работ и услуг собственными силами - 07 Добыча металлических руд</t>
  </si>
  <si>
    <t>Индекс-дефлятор отрузки - 07 Добыча металлических руд</t>
  </si>
  <si>
    <t>Индекс производства - 07 Добыча металлических руд</t>
  </si>
  <si>
    <t>Объем отгруженных товаров собственного производства, выполненных работ и услуг собственными силами - 08 Добыча прочих полезных ископаемых</t>
  </si>
  <si>
    <t>Индекс-дефлятор отрузки - 08 Добыча прочих полезных ископаемых</t>
  </si>
  <si>
    <t>Индекс производства - 08 Добыча прочих полезных ископаемых</t>
  </si>
  <si>
    <t>Объем отгруженных товаров собственного производства, выполненных работ и услуг собственными силами - РАЗДЕЛ C: Обрабатывающие производства</t>
  </si>
  <si>
    <t>Индекс-дефлятор отрузки - РАЗДЕЛ C: Обрабатывающие производства</t>
  </si>
  <si>
    <t>Индекс производства - РАЗДЕЛ C: Обрабатывающие производства</t>
  </si>
  <si>
    <t>Объем отгруженных товаров собственного производства, выполненных работ и услуг собственными силами - 10 Производство пищевых продуктов</t>
  </si>
  <si>
    <t>Индекс-дефлятор отрузки - 10 Производство пищевых продуктов</t>
  </si>
  <si>
    <t>Индекс производства - 10 Производство пищевых продуктов</t>
  </si>
  <si>
    <t>Объем отгруженных товаров собственного производства, выполненных работ и услуг собственными силами - 11 Производство напитков</t>
  </si>
  <si>
    <t>Индекс-дефлятор отрузки - 11 Производство напитков</t>
  </si>
  <si>
    <t>Индекс производства - 11 Производство напитков</t>
  </si>
  <si>
    <t>Объем отгруженных товаров собственного производства, выполненных работ и услуг собственными силами - 12 Производство табачных изделий</t>
  </si>
  <si>
    <t>Индекс-дефлятор отрузки - 12 Производство табачных изделий</t>
  </si>
  <si>
    <t>Индекс производства - 12 Производство табачных изделий</t>
  </si>
  <si>
    <t>Объем отгруженных товаров собственного производства, выполненных работ и услуг собственными силами - 13 Производство текстильных изделий</t>
  </si>
  <si>
    <t>Индекс-дефлятор отрузки - 13 Производство текстильных изделий</t>
  </si>
  <si>
    <t>Индекс производства - 13 Производство текстильных изделий</t>
  </si>
  <si>
    <t>Объем отгруженных товаров собственного производства, выполненных работ и услуг собственными силами - 14 Производство одежды</t>
  </si>
  <si>
    <t>Индекс-дефлятор отрузки - 14 Производство одежды</t>
  </si>
  <si>
    <t>Индекс производства - 14 Производство одежды</t>
  </si>
  <si>
    <t>Объем отгруженных товаров собственного производства, выполненных работ и услуг собственными силами - 15 Производство кожи и изделий из кожи</t>
  </si>
  <si>
    <t>Индекс-дефлятор отрузки - 15 Производство кожи и изделий из кожи</t>
  </si>
  <si>
    <t>Индекс производства - 15 Производство кожи и изделий из кожи</t>
  </si>
  <si>
    <t>Объем отгруженных товаров собственного производства, выполненных работ и услуг собственными силами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</si>
  <si>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>Индекс-дефлятор отрузки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</si>
  <si>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>Индекс производства - 16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</si>
  <si>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Объем отгруженных товаров собственного производства, выполненных работ и услуг собственными силами - 17 Производство бумаги и бумажных изделий </t>
  </si>
  <si>
    <t xml:space="preserve">Индекс-дефлятор отрузки - 17 Производство бумаги и бумажных изделий </t>
  </si>
  <si>
    <t xml:space="preserve">Индекс производства - 17 Производство бумаги и бумажных изделий </t>
  </si>
  <si>
    <t>Объем отгруженных товаров собственного производства, выполненных работ и услуг собственными силами - 18 Деятельность полиграфическая и копирование носителей информации</t>
  </si>
  <si>
    <t>Индекс-дефлятор отрузки - 18 Деятельность полиграфическая и копирование носителей информации</t>
  </si>
  <si>
    <t>Индекс производства - 18 Деятельность полиграфическая и копирование носителей информации</t>
  </si>
  <si>
    <t>Объем отгруженных товаров собственного производства, выполненных работ и услуг собственными силами - 19 Производство кокса и нефтепродуктов</t>
  </si>
  <si>
    <t>Индекс-дефлятор отрузки - 19 Производство кокса и нефтепродуктов</t>
  </si>
  <si>
    <t>Индекс производства - 19 Производство кокса и нефтепродуктов</t>
  </si>
  <si>
    <t>Объем отгруженных товаров собственного производства, выполненных работ и услуг собственными силами - 20 Производство химических веществ и химических продуктов</t>
  </si>
  <si>
    <t>Индекс-дефлятор отрузки - 20 Производство химических веществ и химических продуктов</t>
  </si>
  <si>
    <t>Индекс производства - 20 Производство химических веществ и химических продуктов</t>
  </si>
  <si>
    <t>Объем отгруженных товаров собственного производства, выполненных работ и услуг собственными силами - 21 Производство лекарственных средств и материалов, применяемых в медицинских целях</t>
  </si>
  <si>
    <t>Индекс-дефлятор отрузки - 21 Производство лекарственных средств и материалов, применяемых в медицинских целях</t>
  </si>
  <si>
    <t>Индекс производства - 21 Производство лекарственных средств и материалов, применяемых в медицинских целях</t>
  </si>
  <si>
    <t>Объем отгруженных товаров собственного производства, выполненных работ и услуг собственными силами - 22 Производство резиновых и пластмассовых изделий</t>
  </si>
  <si>
    <t>Индекс-дефлятор отрузки - 22 Производство резиновых и пластмассовых изделий</t>
  </si>
  <si>
    <t>Индекс производства - 22 Производство резиновых и пластмассовых изделий</t>
  </si>
  <si>
    <t>Объем отгруженных товаров собственного производства, выполненных работ и услуг собственными силами - 23 Производство прочей неметаллической минеральной продукции</t>
  </si>
  <si>
    <t>Индекс-дефлятор отрузки - 23 Производство прочей неметаллической минеральной продукции</t>
  </si>
  <si>
    <t>Индекс производства - 23 Производство прочей неметаллической минеральной продукции</t>
  </si>
  <si>
    <t xml:space="preserve">Объем отгруженных товаров собственного производства, выполненных работ и услуг собственными силами - 24 Производство металлургическое </t>
  </si>
  <si>
    <t xml:space="preserve">Индекс-дефлятор отрузки - 24 Производство металлургическое </t>
  </si>
  <si>
    <t xml:space="preserve">Индекс производства - 24 Производство металлургическое </t>
  </si>
  <si>
    <t>Объем отгруженных товаров собственного производства, выполненных работ и услуг собственными силами - 25 Производство готовых металлических изделий, кроме машин и оборудования</t>
  </si>
  <si>
    <t>Индекс-дефлятор отрузки - 25 Производство готовых металлических изделий, кроме машин и оборудования</t>
  </si>
  <si>
    <t>Индекс производства - 25 Производство готовых металлических изделий, кроме машин и оборудования</t>
  </si>
  <si>
    <t>Объем отгруженных товаров собственного производства, выполненных работ и услуг собственными силами - 26 Производство компьютеров, электронных и  оптических изделий</t>
  </si>
  <si>
    <t>Индекс-дефлятор отрузки - 26 Производство компьютеров, электронных и  оптических изделий</t>
  </si>
  <si>
    <t>Индекс производства - 26 Производство компьютеров, электронных и  оптических изделий</t>
  </si>
  <si>
    <t>Объем отгруженных товаров собственного производства, выполненных работ и услуг собственными силами - 27 Производство электрического оборудования</t>
  </si>
  <si>
    <t>Индекс-дефлятор отрузки - 27 Производство электрического оборудования</t>
  </si>
  <si>
    <t>Индекс производства - 27 Производство электрического оборудования</t>
  </si>
  <si>
    <t>Объем отгруженных товаров собственного производства, выполненных работ и услуг собственными силами - 28 Производство машин и оборудования, не включенных в другие группировки</t>
  </si>
  <si>
    <t>Индекс-дефлятор отрузки - 28 Производство машин и оборудования, не включенных в другие группировки</t>
  </si>
  <si>
    <t>Индекс производства - 28 Производство машин и оборудования, не включенных в другие группировки</t>
  </si>
  <si>
    <t>Объем отгруженных товаров собственного производства, выполненных работ и услуг собственными силами - 29 Производство автотранспортных средств, прицепов и полуприцепов</t>
  </si>
  <si>
    <t>Индекс-дефлятор отрузки - 29 Производство автотранспортных средств, прицепов и полуприцепов</t>
  </si>
  <si>
    <t>Индекс производства - 29 Производство автотранспортных средств, прицепов и полуприцепов</t>
  </si>
  <si>
    <t>Объем отгруженных товаров собственного производства, выполненных работ и услуг собственными силами - 30 Производство прочих транспортных средств и оборудования</t>
  </si>
  <si>
    <t>Индекс-дефлятор отрузки - 30 Производство прочих транспортных средств и оборудования</t>
  </si>
  <si>
    <t>Индекс производства - 30 Производство прочих транспортных средств и оборудования</t>
  </si>
  <si>
    <t>Объем отгруженных товаров собственного производства, выполненных работ и услуг собственными силами - 31 Производство мебели</t>
  </si>
  <si>
    <t>Индекс-дефлятор отрузки - 31 Производство мебели</t>
  </si>
  <si>
    <t>Индекс производства - 31 Производство мебели</t>
  </si>
  <si>
    <t>Объем отгруженных товаров собственного производства, выполненных работ и услуг собственными силами - 32 Производство прочих готовых изделий</t>
  </si>
  <si>
    <t>Индекс-дефлятор отрузки - 32 Производство прочих готовых изделий</t>
  </si>
  <si>
    <t>Индекс производства - 32 Производство прочих готовых изделий</t>
  </si>
  <si>
    <t>Объем отгруженных товаров собственного производства, выполненных работ и услуг собственными силами - 33 Ремонт и монтаж машин и оборудования</t>
  </si>
  <si>
    <t>Темп роста отгрузки - 33 Ремонт и монтаж машин и оборудования</t>
  </si>
  <si>
    <t>Индекс-дефлятор отрузки - 33 Ремонт и монтаж машин и оборудования</t>
  </si>
  <si>
    <t>Индекс производства - 33 Ремонт и монтаж машин и оборудования</t>
  </si>
  <si>
    <t>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</si>
  <si>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</si>
  <si>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Индекс-дефлятор отгрузки - РАЗДЕЛ E: Водоснабжение; водоотведение, организация сбора и утилизации отходов, деятельность по ликвидации загрязнений</t>
  </si>
  <si>
    <t>Индекс производства - РАЗДЕЛ E: Водоснабжение; водоотведение, организация сбора и утилизации отходов, деятельность по ликвидации загрязнений</t>
  </si>
  <si>
    <t>Водоснабжение; водоотведение, организация сбора и утилизации отходов, деятельность по ликвидации загрязнений</t>
  </si>
  <si>
    <t>базовый</t>
  </si>
  <si>
    <t>целевой</t>
  </si>
  <si>
    <t>1 вариант</t>
  </si>
  <si>
    <t>2 вариант</t>
  </si>
  <si>
    <t>3 вариант</t>
  </si>
  <si>
    <t xml:space="preserve"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 </t>
  </si>
  <si>
    <t>Индекс-дефлятор отгрузки - РАЗДЕЛ D: Обеспечение электрической энергией, газом и паром; кондиционирование воздуха</t>
  </si>
  <si>
    <t>Индекс производства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</si>
  <si>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- 06 Добыча сырой нефти и природного газа</t>
  </si>
  <si>
    <t>Индекс-дефлятор отрузки - 06 Добыча сырой нефти и природного газа</t>
  </si>
  <si>
    <t>Индекс производства - 06 Добыча сырой нефти и природного газа</t>
  </si>
  <si>
    <t>Объем отгруженных товаров собственного производства, выполненных работ и услуг собственными силами - 09 Предоставление услуг в области добычи полезных ископаемых</t>
  </si>
  <si>
    <t>Индекс-дефлятор отрузки - 09 Предоставление услуг в области добычи полезных ископаемых</t>
  </si>
  <si>
    <t>Индекс производства - 09 Предоставление услуг в области добычи полезных ископаемых</t>
  </si>
  <si>
    <t>Картофель</t>
  </si>
  <si>
    <t>в том числе семян подсолнечника</t>
  </si>
  <si>
    <t>Лесоматериалы необработанные</t>
  </si>
  <si>
    <t>Мясо крупного рогатого скота, свинина, баранина, козлятина, конина и мясо прочих животных семейства лошадиных, оленина и мясо прочих животных семейства оленьих (оленевых) парные, остывшие или охлажденные</t>
  </si>
  <si>
    <t>Масло сливочное, пасты масляные, масло топленое, жир молочный, спреды и смеси топленые сливочно-растительные</t>
  </si>
  <si>
    <t>Сахар белый свекловичный в твердом состоянии без вкусоароматических или красящих добавок</t>
  </si>
  <si>
    <t>Масло подсолнечное и его фракции нерафинированные</t>
  </si>
  <si>
    <t>Спирт этиловый неденатурированный с объемной долей спирта не менее 80 %</t>
  </si>
  <si>
    <t>Коньяки, коньячные напитки и спирты коньячные</t>
  </si>
  <si>
    <t>Культуры зерновые</t>
  </si>
  <si>
    <t>Семена и плоды масличных культур</t>
  </si>
  <si>
    <t>Продукция из рыбы свежая, охлажденная или мороженая</t>
  </si>
  <si>
    <t>Наливки и настойки сладкие крепостью менее 30 %</t>
  </si>
  <si>
    <t>Вина из свежего винограда, кроме вин игристых и газированных</t>
  </si>
  <si>
    <t>Напитки сброженные прочие</t>
  </si>
  <si>
    <t>Ткани хлопчатобумажные</t>
  </si>
  <si>
    <t>Предметы одежды трикотажные и вязаные</t>
  </si>
  <si>
    <t>Тракторы для сельского хозяйства прочие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</si>
  <si>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</si>
  <si>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Изделия ювелирные и подобные</t>
  </si>
  <si>
    <t>Пиво, кроме отходов пивоварения (включая напитки, изготовляемые на основе пива (пиваные напитки)</t>
  </si>
  <si>
    <t>Нефть сырая, включая газовый конденсат</t>
  </si>
  <si>
    <t xml:space="preserve">Удобрения минеральные или химические 
 (в пересчете на 100% питательных веществ)
</t>
  </si>
  <si>
    <t xml:space="preserve">Портландцемент, цемент глиноземистый, цемент шлаковый 
 и аналогичные гидравлические цементы
</t>
  </si>
  <si>
    <t>Прокат готовый</t>
  </si>
  <si>
    <t xml:space="preserve">Лесоматериалы, продольно распиленные или расколотые, 
 разделенные на слои или лущеные, толщиной более 6 мм;  
 деревянные железнодорожные или трамвайные шпалы, 
 непропитанные
</t>
  </si>
  <si>
    <t>Сахарная свекла</t>
  </si>
  <si>
    <t>Овощи</t>
  </si>
  <si>
    <t>2.1. Промышленное производство (BCDE)</t>
  </si>
  <si>
    <t>2.2. Сельское хозяйство</t>
  </si>
  <si>
    <t>4. Малое и среднее предпринимательство, включая микропредприятия</t>
  </si>
  <si>
    <t>5. Инвестиции</t>
  </si>
  <si>
    <t>6. Бюджет муниципального образования Республики Хакасия ( без учета территориальных внебюджетных фондов)</t>
  </si>
  <si>
    <t>Доходы местного бюджета  - всего</t>
  </si>
  <si>
    <t>Налоговые доходы местного бюджета  - всего</t>
  </si>
  <si>
    <t xml:space="preserve">субсидии </t>
  </si>
  <si>
    <t xml:space="preserve">субвенции </t>
  </si>
  <si>
    <t xml:space="preserve">дотации </t>
  </si>
  <si>
    <t>Расходы местного бюджета  - всего</t>
  </si>
  <si>
    <t>обслуживание  муниципального долга</t>
  </si>
  <si>
    <t xml:space="preserve">      Дефицит(-),профицит(+) местного бюджета </t>
  </si>
  <si>
    <t>Муниципальный долг</t>
  </si>
  <si>
    <t xml:space="preserve">2.3. Производство важнейших видов продукции в натуральном выражении </t>
  </si>
  <si>
    <t>7. Труд и занятость</t>
  </si>
  <si>
    <t>8. Развитие социальной сферы</t>
  </si>
  <si>
    <t>Привлеченные средства, из них:</t>
  </si>
  <si>
    <t xml:space="preserve">          кредиты банков</t>
  </si>
  <si>
    <t xml:space="preserve">          в том числе кредиты иностранных банков</t>
  </si>
  <si>
    <t xml:space="preserve">    федеральный бюджет</t>
  </si>
  <si>
    <t xml:space="preserve">    бюджеты субъектов Российской Федерации</t>
  </si>
  <si>
    <t xml:space="preserve">    из местных бюджетов</t>
  </si>
  <si>
    <t>2.4. Строительство</t>
  </si>
  <si>
    <t>Темп роста фонда заработной платы работников организаций</t>
  </si>
  <si>
    <t>рублей</t>
  </si>
  <si>
    <t>Индекс-дефлятор</t>
  </si>
  <si>
    <t>госпошлина</t>
  </si>
  <si>
    <t>средства массовой информации</t>
  </si>
  <si>
    <t>национальная оборона</t>
  </si>
  <si>
    <t>Оценка</t>
  </si>
  <si>
    <t>Численность населения (на 1 января года)</t>
  </si>
  <si>
    <t>Численность населения трудоспособного возраста  (на 1 января года)</t>
  </si>
  <si>
    <t>Численность населения старше трудоспособного возраста  (на 1 января года)</t>
  </si>
  <si>
    <t>Индекс физического объема оборота розничной торговли</t>
  </si>
  <si>
    <t>Индекс физического объема платных услуг населению</t>
  </si>
  <si>
    <t>Численность рабочей силы</t>
  </si>
  <si>
    <t>Численность трудовых ресурсов - всего, в том числе</t>
  </si>
  <si>
    <t>Численность занятых в экономике – всего, в том числе по разделам ОКВЭД:</t>
  </si>
  <si>
    <t>Численность населения в трудоспособном возрасте, не занятого в экономике – всего, в том числе:</t>
  </si>
  <si>
    <t xml:space="preserve">        трудоспособное население в трудоспособном возрасте</t>
  </si>
  <si>
    <t xml:space="preserve">        иностранные трудовые мигранты</t>
  </si>
  <si>
    <t xml:space="preserve">        численность лиц старше трудоспособного возраста и подростков, занятых в экономике, в том числе:</t>
  </si>
  <si>
    <t xml:space="preserve">       сельское, лесное хозяйство, охота, рыболовство и рыбоводство</t>
  </si>
  <si>
    <t xml:space="preserve">       добыча полезных ископаемых</t>
  </si>
  <si>
    <t xml:space="preserve">      обрабатывающие производства</t>
  </si>
  <si>
    <t xml:space="preserve">      обеспечение электрической энергией, газом и паром; кондиционирование воздуха</t>
  </si>
  <si>
    <t xml:space="preserve">       водоснабжение; водоотведение, организация сбора и утилизации отходов, деятельность по ликвидации загрязнений</t>
  </si>
  <si>
    <t xml:space="preserve">      строительство</t>
  </si>
  <si>
    <t xml:space="preserve">      торговля оптовая и розничная; ремонт автотранспортных средств и мотоциклов</t>
  </si>
  <si>
    <t xml:space="preserve">      транспортировка и хранение</t>
  </si>
  <si>
    <t xml:space="preserve">      деятельность гостиниц и предприятий общественного питания</t>
  </si>
  <si>
    <t xml:space="preserve">      деятельность в области информации и связи</t>
  </si>
  <si>
    <t xml:space="preserve">      деятельность финансовая и страховая</t>
  </si>
  <si>
    <t xml:space="preserve">      деятельность по операциям с недвижимым имуществом</t>
  </si>
  <si>
    <t xml:space="preserve">       деятельность профессиональная, научная и техническая</t>
  </si>
  <si>
    <t xml:space="preserve">      деятельность административная и сопутствующие дополнительные услуги</t>
  </si>
  <si>
    <t xml:space="preserve">      государственное управление и обеспечение военной безопасности; социальное обеспечение</t>
  </si>
  <si>
    <t xml:space="preserve">     образование</t>
  </si>
  <si>
    <t xml:space="preserve">      деятельность в области здравоохранения и социальных услуг</t>
  </si>
  <si>
    <t xml:space="preserve">       деятельность в области культуры, спорта, организации досуга и развлечений</t>
  </si>
  <si>
    <t xml:space="preserve">       прочие виды экономической деятельности</t>
  </si>
  <si>
    <t xml:space="preserve">       численность учащихся трудоспособного возраста, обучающихся с отрывом от производства</t>
  </si>
  <si>
    <t xml:space="preserve">      численность безработных, зарегистрированных в органах службы занятости</t>
  </si>
  <si>
    <t xml:space="preserve">       численность прочих категорий населения в трудоспособном возрасте, не занятого в экономике</t>
  </si>
  <si>
    <t>Номинальная начисленная среднемесяная заработная плата работников организаций в целом по муниципальному образованию</t>
  </si>
  <si>
    <t>Темп роста номинальной начисленной среднемесяной заработной платы в целом  по муниципальному образованию</t>
  </si>
  <si>
    <t>Реальная заработная плата работников организаций</t>
  </si>
  <si>
    <t>% г/г</t>
  </si>
  <si>
    <t>Уровень безработицы (по методологии МОТ)</t>
  </si>
  <si>
    <t>% к рабочей силе</t>
  </si>
  <si>
    <t>человек</t>
  </si>
  <si>
    <t xml:space="preserve">           пенсионеры старше трудоспособного возраста</t>
  </si>
  <si>
    <t xml:space="preserve">           подростки моложе трудоспособного возраста</t>
  </si>
  <si>
    <t>консерва тивный</t>
  </si>
  <si>
    <t>Прогноз</t>
  </si>
  <si>
    <t>Показатель</t>
  </si>
  <si>
    <t>Отчет*</t>
  </si>
  <si>
    <t>Численность населения (в среднегодовом исчислении)</t>
  </si>
  <si>
    <t xml:space="preserve">Объем отгруженных товаров собственного производства, выполненных работ и услуг собственными силами </t>
  </si>
  <si>
    <t>ПРОГНОЗ</t>
  </si>
  <si>
    <t xml:space="preserve">социально-экономического развития  муниципального образования Усть-Абаканский район Республики Хакасия </t>
  </si>
  <si>
    <t>ПРОЕКТ</t>
  </si>
  <si>
    <t xml:space="preserve">на 2025 год и плановый период 2026 - 2027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</si>
</sst>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#,##0.000"/>
  </numFmts>
  <fonts count="18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12"/>
      <name val="Arial Cyr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0"/>
      <name val="Arial Cyr"/>
    </font>
    <font>
      <sz val="14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1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ill="1"/>
    <xf numFmtId="0" fontId="3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 applyProtection="1">
      <alignment vertical="center" wrapText="1" shrinkToFi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 shrinkToFit="1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0" fillId="0" borderId="1" xfId="0" applyFill="1" applyBorder="1"/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left" vertical="center" wrapText="1" shrinkToFi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 shrinkToFi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 shrinkToFi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2" fontId="4" fillId="3" borderId="2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6" fontId="4" fillId="3" borderId="1" xfId="0" applyNumberFormat="1" applyFont="1" applyFill="1" applyBorder="1"/>
    <xf numFmtId="164" fontId="0" fillId="0" borderId="0" xfId="0" applyNumberFormat="1" applyFill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16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4" fontId="3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5" fontId="2" fillId="3" borderId="1" xfId="0" applyNumberFormat="1" applyFont="1" applyFill="1" applyBorder="1" applyAlignment="1" applyProtection="1">
      <alignment horizontal="center" vertical="center" wrapText="1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3" fillId="0" borderId="0" xfId="2" quotePrefix="1" applyFont="1" applyFill="1" applyBorder="1" applyAlignment="1">
      <alignment horizontal="right" wrapText="1"/>
    </xf>
    <xf numFmtId="0" fontId="14" fillId="0" borderId="0" xfId="2" quotePrefix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>
      <alignment horizontal="center" vertical="center" wrapText="1" shrinkToFi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166" fontId="4" fillId="0" borderId="1" xfId="0" applyNumberFormat="1" applyFont="1" applyFill="1" applyBorder="1"/>
    <xf numFmtId="0" fontId="11" fillId="0" borderId="0" xfId="2" quotePrefix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12" fillId="0" borderId="0" xfId="0" applyFont="1" applyFill="1"/>
    <xf numFmtId="0" fontId="0" fillId="0" borderId="0" xfId="0" applyFill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1" fillId="0" borderId="4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/>
    <xf numFmtId="0" fontId="17" fillId="0" borderId="0" xfId="0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333"/>
  <sheetViews>
    <sheetView tabSelected="1" zoomScaleNormal="100" workbookViewId="0">
      <selection activeCell="S8" sqref="S8"/>
    </sheetView>
  </sheetViews>
  <sheetFormatPr defaultColWidth="8.85546875" defaultRowHeight="12.75" x14ac:dyDescent="0.2"/>
  <cols>
    <col min="1" max="1" width="62.140625" style="9" customWidth="1"/>
    <col min="2" max="2" width="16.7109375" style="9" customWidth="1"/>
    <col min="3" max="3" width="0.140625" style="9" hidden="1" customWidth="1"/>
    <col min="4" max="4" width="0.28515625" style="9" hidden="1" customWidth="1"/>
    <col min="5" max="5" width="16.140625" style="9" hidden="1" customWidth="1"/>
    <col min="6" max="7" width="15" style="9" customWidth="1"/>
    <col min="8" max="8" width="13.42578125" style="9" customWidth="1"/>
    <col min="9" max="9" width="15" style="9" customWidth="1"/>
    <col min="10" max="10" width="13.28515625" style="9" customWidth="1"/>
    <col min="11" max="11" width="0.42578125" style="9" hidden="1" customWidth="1"/>
    <col min="12" max="13" width="13.7109375" style="9" customWidth="1"/>
    <col min="14" max="14" width="13.7109375" style="9" hidden="1" customWidth="1"/>
    <col min="15" max="16" width="13.7109375" style="9" customWidth="1"/>
    <col min="17" max="18" width="8.85546875" style="9"/>
    <col min="19" max="19" width="23.5703125" style="9" customWidth="1"/>
    <col min="20" max="20" width="16" style="9" customWidth="1"/>
    <col min="21" max="21" width="19.28515625" style="9" customWidth="1"/>
    <col min="22" max="26" width="8.85546875" style="9"/>
    <col min="27" max="27" width="8.85546875" style="9" customWidth="1"/>
    <col min="28" max="28" width="8.85546875" style="9"/>
    <col min="29" max="30" width="8.85546875" style="9" customWidth="1"/>
    <col min="31" max="16384" width="8.85546875" style="9"/>
  </cols>
  <sheetData>
    <row r="3" spans="1:20" ht="20.25" x14ac:dyDescent="0.3">
      <c r="E3" s="164" t="s">
        <v>375</v>
      </c>
      <c r="F3" s="164"/>
      <c r="G3" s="164"/>
    </row>
    <row r="4" spans="1:20" ht="33" customHeight="1" x14ac:dyDescent="0.2">
      <c r="A4" s="165" t="s">
        <v>376</v>
      </c>
      <c r="B4" s="166"/>
      <c r="C4" s="166"/>
      <c r="D4" s="166"/>
      <c r="E4" s="166"/>
      <c r="F4" s="166"/>
      <c r="G4" s="166"/>
      <c r="H4" s="167"/>
      <c r="I4" s="167"/>
      <c r="J4" s="167"/>
      <c r="K4" s="167"/>
      <c r="L4" s="167"/>
      <c r="M4" s="167"/>
      <c r="N4" s="167"/>
      <c r="O4" s="167"/>
    </row>
    <row r="5" spans="1:20" ht="25.5" customHeight="1" x14ac:dyDescent="0.25">
      <c r="A5" s="165" t="s">
        <v>378</v>
      </c>
      <c r="B5" s="166"/>
      <c r="C5" s="166"/>
      <c r="D5" s="166"/>
      <c r="E5" s="166"/>
      <c r="F5" s="166"/>
      <c r="G5" s="166"/>
      <c r="H5" s="167"/>
      <c r="I5" s="167"/>
      <c r="J5" s="167"/>
      <c r="K5" s="167"/>
      <c r="L5" s="167"/>
      <c r="M5" s="167"/>
      <c r="N5" s="167"/>
      <c r="O5" s="167"/>
      <c r="P5" s="168" t="s">
        <v>377</v>
      </c>
    </row>
    <row r="6" spans="1:20" ht="21" customHeight="1" x14ac:dyDescent="0.2">
      <c r="A6" s="161"/>
      <c r="B6" s="155"/>
      <c r="C6" s="155"/>
      <c r="D6" s="155"/>
      <c r="E6" s="155"/>
      <c r="F6" s="155"/>
      <c r="G6" s="155"/>
      <c r="H6" s="155"/>
      <c r="I6" s="156"/>
      <c r="J6" s="156"/>
      <c r="K6" s="156"/>
      <c r="L6" s="156"/>
      <c r="M6" s="156"/>
      <c r="N6" s="156"/>
      <c r="O6" s="156"/>
      <c r="P6" s="156"/>
    </row>
    <row r="7" spans="1:20" x14ac:dyDescent="0.2">
      <c r="A7" s="9" t="s">
        <v>92</v>
      </c>
    </row>
    <row r="8" spans="1:20" ht="50.25" customHeight="1" x14ac:dyDescent="0.2">
      <c r="A8" s="151" t="s">
        <v>371</v>
      </c>
      <c r="B8" s="151" t="s">
        <v>135</v>
      </c>
      <c r="C8" s="1" t="s">
        <v>136</v>
      </c>
      <c r="D8" s="34" t="s">
        <v>372</v>
      </c>
      <c r="E8" s="32" t="s">
        <v>372</v>
      </c>
      <c r="F8" s="109" t="s">
        <v>372</v>
      </c>
      <c r="G8" s="119" t="s">
        <v>372</v>
      </c>
      <c r="H8" s="2" t="s">
        <v>325</v>
      </c>
      <c r="I8" s="157" t="s">
        <v>370</v>
      </c>
      <c r="J8" s="162"/>
      <c r="K8" s="162"/>
      <c r="L8" s="162"/>
      <c r="M8" s="162"/>
      <c r="N8" s="162"/>
      <c r="O8" s="162"/>
      <c r="P8" s="163"/>
    </row>
    <row r="9" spans="1:20" ht="22.5" customHeight="1" x14ac:dyDescent="0.2">
      <c r="A9" s="152"/>
      <c r="B9" s="152"/>
      <c r="C9" s="151">
        <v>2019</v>
      </c>
      <c r="D9" s="151">
        <v>2020</v>
      </c>
      <c r="E9" s="151">
        <v>2021</v>
      </c>
      <c r="F9" s="151">
        <v>2022</v>
      </c>
      <c r="G9" s="151">
        <v>2023</v>
      </c>
      <c r="H9" s="151">
        <v>2024</v>
      </c>
      <c r="I9" s="157">
        <v>2025</v>
      </c>
      <c r="J9" s="158"/>
      <c r="K9" s="159"/>
      <c r="L9" s="157">
        <v>2026</v>
      </c>
      <c r="M9" s="158"/>
      <c r="N9" s="159"/>
      <c r="O9" s="160">
        <v>2027</v>
      </c>
      <c r="P9" s="159"/>
    </row>
    <row r="10" spans="1:20" ht="60.75" customHeight="1" x14ac:dyDescent="0.2">
      <c r="A10" s="152"/>
      <c r="B10" s="152"/>
      <c r="C10" s="152"/>
      <c r="D10" s="152"/>
      <c r="E10" s="152"/>
      <c r="F10" s="152"/>
      <c r="G10" s="152"/>
      <c r="H10" s="152"/>
      <c r="I10" s="1" t="s">
        <v>369</v>
      </c>
      <c r="J10" s="1" t="s">
        <v>253</v>
      </c>
      <c r="K10" s="1" t="s">
        <v>254</v>
      </c>
      <c r="L10" s="1" t="s">
        <v>369</v>
      </c>
      <c r="M10" s="1" t="s">
        <v>253</v>
      </c>
      <c r="N10" s="1" t="s">
        <v>254</v>
      </c>
      <c r="O10" s="1" t="s">
        <v>369</v>
      </c>
      <c r="P10" s="1" t="s">
        <v>253</v>
      </c>
    </row>
    <row r="11" spans="1:20" ht="42" customHeight="1" x14ac:dyDescent="0.2">
      <c r="A11" s="154"/>
      <c r="B11" s="154"/>
      <c r="C11" s="154"/>
      <c r="D11" s="153"/>
      <c r="E11" s="154"/>
      <c r="F11" s="154"/>
      <c r="G11" s="154"/>
      <c r="H11" s="154"/>
      <c r="I11" s="1" t="s">
        <v>255</v>
      </c>
      <c r="J11" s="1" t="s">
        <v>256</v>
      </c>
      <c r="K11" s="1" t="s">
        <v>257</v>
      </c>
      <c r="L11" s="1" t="s">
        <v>255</v>
      </c>
      <c r="M11" s="1" t="s">
        <v>256</v>
      </c>
      <c r="N11" s="1" t="s">
        <v>257</v>
      </c>
      <c r="O11" s="1" t="s">
        <v>255</v>
      </c>
      <c r="P11" s="1" t="s">
        <v>256</v>
      </c>
    </row>
    <row r="12" spans="1:20" ht="18.75" x14ac:dyDescent="0.2">
      <c r="A12" s="3" t="s">
        <v>137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20" ht="37.5" customHeight="1" x14ac:dyDescent="0.2">
      <c r="A13" s="16" t="s">
        <v>373</v>
      </c>
      <c r="B13" s="11" t="s">
        <v>138</v>
      </c>
      <c r="C13" s="38">
        <v>41.527999999999999</v>
      </c>
      <c r="D13" s="62">
        <v>41.351999999999997</v>
      </c>
      <c r="E13" s="108">
        <v>41.122999999999998</v>
      </c>
      <c r="F13" s="123">
        <v>47.402000000000001</v>
      </c>
      <c r="G13" s="123">
        <v>46.703000000000003</v>
      </c>
      <c r="H13" s="123">
        <v>46.286999999999999</v>
      </c>
      <c r="I13" s="123">
        <v>46.140999999999998</v>
      </c>
      <c r="J13" s="123">
        <v>46.174999999999997</v>
      </c>
      <c r="K13" s="123"/>
      <c r="L13" s="123">
        <v>46.014000000000003</v>
      </c>
      <c r="M13" s="123">
        <v>46.156999999999996</v>
      </c>
      <c r="N13" s="123"/>
      <c r="O13" s="123">
        <v>45.892000000000003</v>
      </c>
      <c r="P13" s="123">
        <v>46.171999999999997</v>
      </c>
    </row>
    <row r="14" spans="1:20" ht="18.75" x14ac:dyDescent="0.25">
      <c r="A14" s="16" t="s">
        <v>326</v>
      </c>
      <c r="B14" s="11" t="s">
        <v>138</v>
      </c>
      <c r="C14" s="38">
        <v>41.680999999999997</v>
      </c>
      <c r="D14" s="62">
        <v>41.375</v>
      </c>
      <c r="E14" s="108">
        <v>41.329000000000001</v>
      </c>
      <c r="F14" s="123">
        <v>47.750999999999998</v>
      </c>
      <c r="G14" s="123">
        <v>47.052</v>
      </c>
      <c r="H14" s="123">
        <v>46.353999999999999</v>
      </c>
      <c r="I14" s="123">
        <v>46.220999999999997</v>
      </c>
      <c r="J14" s="123">
        <v>46.220999999999997</v>
      </c>
      <c r="K14" s="123"/>
      <c r="L14" s="123">
        <v>46.06</v>
      </c>
      <c r="M14" s="123">
        <v>46.128999999999998</v>
      </c>
      <c r="N14" s="123"/>
      <c r="O14" s="123">
        <v>45.966999999999999</v>
      </c>
      <c r="P14" s="123">
        <v>46.185000000000002</v>
      </c>
      <c r="S14" s="115"/>
      <c r="T14" s="115"/>
    </row>
    <row r="15" spans="1:20" ht="37.5" x14ac:dyDescent="0.2">
      <c r="A15" s="16" t="s">
        <v>327</v>
      </c>
      <c r="B15" s="11" t="s">
        <v>138</v>
      </c>
      <c r="C15" s="21">
        <v>22.067</v>
      </c>
      <c r="D15" s="63">
        <v>22.117000000000001</v>
      </c>
      <c r="E15" s="63">
        <v>22.145</v>
      </c>
      <c r="F15" s="21">
        <v>27.265999999999998</v>
      </c>
      <c r="G15" s="21">
        <v>26.396999999999998</v>
      </c>
      <c r="H15" s="21">
        <v>26.297000000000001</v>
      </c>
      <c r="I15" s="21">
        <v>26.286999999999999</v>
      </c>
      <c r="J15" s="21">
        <v>26.297000000000001</v>
      </c>
      <c r="K15" s="21"/>
      <c r="L15" s="21">
        <v>26.286999999999999</v>
      </c>
      <c r="M15" s="21">
        <v>26.297000000000001</v>
      </c>
      <c r="N15" s="21"/>
      <c r="O15" s="21">
        <v>26.19</v>
      </c>
      <c r="P15" s="21">
        <v>26.234999999999999</v>
      </c>
    </row>
    <row r="16" spans="1:20" ht="42.75" customHeight="1" x14ac:dyDescent="0.2">
      <c r="A16" s="16" t="s">
        <v>328</v>
      </c>
      <c r="B16" s="11" t="s">
        <v>138</v>
      </c>
      <c r="C16" s="21">
        <v>10.151</v>
      </c>
      <c r="D16" s="63">
        <v>10.079000000000001</v>
      </c>
      <c r="E16" s="63">
        <v>10.17</v>
      </c>
      <c r="F16" s="21">
        <v>9.8369999999999997</v>
      </c>
      <c r="G16" s="21">
        <v>10.427</v>
      </c>
      <c r="H16" s="21">
        <v>10.127000000000001</v>
      </c>
      <c r="I16" s="27">
        <v>10.127000000000001</v>
      </c>
      <c r="J16" s="27">
        <v>10.127000000000001</v>
      </c>
      <c r="K16" s="27"/>
      <c r="L16" s="27">
        <v>10.127000000000001</v>
      </c>
      <c r="M16" s="27">
        <v>10.127000000000001</v>
      </c>
      <c r="N16" s="27"/>
      <c r="O16" s="27">
        <v>10.029999999999999</v>
      </c>
      <c r="P16" s="27">
        <v>10.029999999999999</v>
      </c>
    </row>
    <row r="17" spans="1:23" ht="43.5" customHeight="1" x14ac:dyDescent="0.2">
      <c r="A17" s="16" t="s">
        <v>140</v>
      </c>
      <c r="B17" s="11" t="s">
        <v>141</v>
      </c>
      <c r="C17" s="40">
        <v>71.099999999999994</v>
      </c>
      <c r="D17" s="110">
        <v>68</v>
      </c>
      <c r="E17" s="110">
        <v>67</v>
      </c>
      <c r="F17" s="124">
        <v>69</v>
      </c>
      <c r="G17" s="124">
        <v>69</v>
      </c>
      <c r="H17" s="124">
        <v>69</v>
      </c>
      <c r="I17" s="27">
        <v>68.900000000000006</v>
      </c>
      <c r="J17" s="27">
        <v>68.900000000000006</v>
      </c>
      <c r="K17" s="27"/>
      <c r="L17" s="27">
        <v>69</v>
      </c>
      <c r="M17" s="27">
        <v>69</v>
      </c>
      <c r="N17" s="27"/>
      <c r="O17" s="27">
        <v>69.2</v>
      </c>
      <c r="P17" s="27">
        <v>69.2</v>
      </c>
    </row>
    <row r="18" spans="1:23" ht="93.75" x14ac:dyDescent="0.2">
      <c r="A18" s="16" t="s">
        <v>142</v>
      </c>
      <c r="B18" s="11" t="s">
        <v>143</v>
      </c>
      <c r="C18" s="21">
        <v>10.199999999999999</v>
      </c>
      <c r="D18" s="63">
        <v>9.1999999999999993</v>
      </c>
      <c r="E18" s="63">
        <v>10.4</v>
      </c>
      <c r="F18" s="27">
        <v>8.4</v>
      </c>
      <c r="G18" s="27">
        <v>8.5</v>
      </c>
      <c r="H18" s="27">
        <v>8.82</v>
      </c>
      <c r="I18" s="27">
        <v>8.6999999999999993</v>
      </c>
      <c r="J18" s="27">
        <v>8.7200000000000006</v>
      </c>
      <c r="K18" s="27"/>
      <c r="L18" s="27">
        <v>8.77</v>
      </c>
      <c r="M18" s="27">
        <v>8.84</v>
      </c>
      <c r="N18" s="27"/>
      <c r="O18" s="27">
        <v>8.7899999999999991</v>
      </c>
      <c r="P18" s="27">
        <v>8.77</v>
      </c>
    </row>
    <row r="19" spans="1:23" ht="75" x14ac:dyDescent="0.2">
      <c r="A19" s="16" t="s">
        <v>144</v>
      </c>
      <c r="B19" s="11" t="s">
        <v>145</v>
      </c>
      <c r="C19" s="21">
        <v>12.6</v>
      </c>
      <c r="D19" s="63">
        <v>13.7</v>
      </c>
      <c r="E19" s="63">
        <v>15.2</v>
      </c>
      <c r="F19" s="27">
        <v>10.8</v>
      </c>
      <c r="G19" s="27">
        <v>11.6</v>
      </c>
      <c r="H19" s="27">
        <v>11.37</v>
      </c>
      <c r="I19" s="27">
        <v>11.53</v>
      </c>
      <c r="J19" s="27">
        <v>11.48</v>
      </c>
      <c r="K19" s="27"/>
      <c r="L19" s="27">
        <v>11.35</v>
      </c>
      <c r="M19" s="27">
        <v>11.2</v>
      </c>
      <c r="N19" s="27"/>
      <c r="O19" s="27">
        <v>11.38</v>
      </c>
      <c r="P19" s="27">
        <v>11.31</v>
      </c>
    </row>
    <row r="20" spans="1:23" ht="56.25" x14ac:dyDescent="0.2">
      <c r="A20" s="16" t="s">
        <v>146</v>
      </c>
      <c r="B20" s="11" t="s">
        <v>147</v>
      </c>
      <c r="C20" s="21">
        <v>-2.4</v>
      </c>
      <c r="D20" s="63">
        <v>-4.5</v>
      </c>
      <c r="E20" s="88">
        <v>-4.8</v>
      </c>
      <c r="F20" s="27">
        <v>-2.4</v>
      </c>
      <c r="G20" s="27">
        <v>-3.1</v>
      </c>
      <c r="H20" s="27">
        <v>-2.5499999999999998</v>
      </c>
      <c r="I20" s="27">
        <v>-2.83</v>
      </c>
      <c r="J20" s="27">
        <v>-2.76</v>
      </c>
      <c r="K20" s="27"/>
      <c r="L20" s="27">
        <v>-2.58</v>
      </c>
      <c r="M20" s="27">
        <v>-2.36</v>
      </c>
      <c r="N20" s="27"/>
      <c r="O20" s="27">
        <v>-2.59</v>
      </c>
      <c r="P20" s="27">
        <v>-2.54</v>
      </c>
    </row>
    <row r="21" spans="1:23" ht="18.75" x14ac:dyDescent="0.2">
      <c r="A21" s="16" t="s">
        <v>121</v>
      </c>
      <c r="B21" s="11" t="s">
        <v>77</v>
      </c>
      <c r="C21" s="21">
        <v>1.72</v>
      </c>
      <c r="D21" s="63">
        <v>1.9490000000000001</v>
      </c>
      <c r="E21" s="66">
        <v>1.72</v>
      </c>
      <c r="F21" s="123">
        <v>1.2789999999999999</v>
      </c>
      <c r="G21" s="123">
        <v>1.24</v>
      </c>
      <c r="H21" s="123">
        <v>1.6850000000000001</v>
      </c>
      <c r="I21" s="123">
        <v>1.62</v>
      </c>
      <c r="J21" s="123">
        <v>1.6850000000000001</v>
      </c>
      <c r="K21" s="123"/>
      <c r="L21" s="123">
        <v>1.675</v>
      </c>
      <c r="M21" s="123">
        <v>1.7949999999999999</v>
      </c>
      <c r="N21" s="123"/>
      <c r="O21" s="123">
        <v>1.62</v>
      </c>
      <c r="P21" s="123">
        <v>1.742</v>
      </c>
    </row>
    <row r="22" spans="1:23" ht="18.75" x14ac:dyDescent="0.2">
      <c r="A22" s="16" t="s">
        <v>120</v>
      </c>
      <c r="B22" s="11" t="s">
        <v>77</v>
      </c>
      <c r="C22" s="21">
        <v>1.9259999999999999</v>
      </c>
      <c r="D22" s="63">
        <v>1.8069999999999999</v>
      </c>
      <c r="E22" s="66">
        <v>1.9330000000000001</v>
      </c>
      <c r="F22" s="123">
        <v>1.867</v>
      </c>
      <c r="G22" s="123">
        <v>1.7949999999999999</v>
      </c>
      <c r="H22" s="123">
        <v>1.7</v>
      </c>
      <c r="I22" s="123">
        <v>1.65</v>
      </c>
      <c r="J22" s="123">
        <v>1.65</v>
      </c>
      <c r="K22" s="123"/>
      <c r="L22" s="123">
        <v>1.65</v>
      </c>
      <c r="M22" s="123">
        <v>1.63</v>
      </c>
      <c r="N22" s="123"/>
      <c r="O22" s="123">
        <v>1.65</v>
      </c>
      <c r="P22" s="123">
        <v>1.65</v>
      </c>
    </row>
    <row r="23" spans="1:23" ht="56.25" x14ac:dyDescent="0.2">
      <c r="A23" s="16" t="s">
        <v>148</v>
      </c>
      <c r="B23" s="11" t="s">
        <v>149</v>
      </c>
      <c r="C23" s="21">
        <v>-49.6</v>
      </c>
      <c r="D23" s="63">
        <v>34.097000000000001</v>
      </c>
      <c r="E23" s="63">
        <v>-51.8</v>
      </c>
      <c r="F23" s="27">
        <v>-124</v>
      </c>
      <c r="G23" s="27">
        <f>(G21-G22)/G13*10000</f>
        <v>-118.83604907607646</v>
      </c>
      <c r="H23" s="21">
        <v>-3.24</v>
      </c>
      <c r="I23" s="21">
        <v>-6.5</v>
      </c>
      <c r="J23" s="21">
        <v>7.58</v>
      </c>
      <c r="K23" s="21"/>
      <c r="L23" s="21">
        <v>5.43</v>
      </c>
      <c r="M23" s="21">
        <v>35.75</v>
      </c>
      <c r="N23" s="21"/>
      <c r="O23" s="21">
        <v>-6.54</v>
      </c>
      <c r="P23" s="21">
        <v>19.93</v>
      </c>
    </row>
    <row r="24" spans="1:23" ht="18.75" x14ac:dyDescent="0.2">
      <c r="A24" s="10" t="s">
        <v>150</v>
      </c>
      <c r="B24" s="11"/>
      <c r="C24" s="21"/>
      <c r="D24" s="63"/>
      <c r="E24" s="66"/>
      <c r="F24" s="5"/>
      <c r="G24" s="5"/>
      <c r="H24" s="5"/>
      <c r="I24" s="5"/>
      <c r="J24" s="5"/>
      <c r="K24" s="5"/>
      <c r="L24" s="5"/>
      <c r="M24" s="5"/>
      <c r="N24" s="5"/>
      <c r="O24" s="21"/>
      <c r="P24" s="21"/>
    </row>
    <row r="25" spans="1:23" ht="18.75" x14ac:dyDescent="0.2">
      <c r="A25" s="10" t="s">
        <v>295</v>
      </c>
      <c r="B25" s="11"/>
      <c r="C25" s="21"/>
      <c r="D25" s="63"/>
      <c r="E25" s="66"/>
      <c r="F25" s="5"/>
      <c r="G25" s="5"/>
      <c r="H25" s="5"/>
      <c r="I25" s="5"/>
      <c r="J25" s="5"/>
      <c r="K25" s="5"/>
      <c r="L25" s="5"/>
      <c r="M25" s="5"/>
      <c r="N25" s="5"/>
      <c r="O25" s="21"/>
      <c r="P25" s="21"/>
    </row>
    <row r="26" spans="1:23" ht="63.75" customHeight="1" x14ac:dyDescent="0.3">
      <c r="A26" s="16" t="s">
        <v>374</v>
      </c>
      <c r="B26" s="11" t="s">
        <v>151</v>
      </c>
      <c r="C26" s="41">
        <f>C29+C48+C125+C129</f>
        <v>2262.5</v>
      </c>
      <c r="D26" s="64">
        <f t="shared" ref="D26:N26" si="0">D29+D48+D125+D129</f>
        <v>2843.3</v>
      </c>
      <c r="E26" s="67">
        <f t="shared" ref="E26:J26" si="1">E29+E48+E125+E129</f>
        <v>2969.7000000000003</v>
      </c>
      <c r="F26" s="44">
        <f t="shared" si="1"/>
        <v>3013.3999999999996</v>
      </c>
      <c r="G26" s="44">
        <f t="shared" si="1"/>
        <v>3709.2</v>
      </c>
      <c r="H26" s="44">
        <f t="shared" si="1"/>
        <v>5736.3</v>
      </c>
      <c r="I26" s="44">
        <f t="shared" si="1"/>
        <v>8063.2000000000007</v>
      </c>
      <c r="J26" s="44">
        <f t="shared" si="1"/>
        <v>8097.6</v>
      </c>
      <c r="K26" s="44">
        <f t="shared" si="0"/>
        <v>0</v>
      </c>
      <c r="L26" s="44">
        <f>L29+L48+L125+L129</f>
        <v>8294.4952045999999</v>
      </c>
      <c r="M26" s="44">
        <f>M29+M48+M125+M129</f>
        <v>8331.9</v>
      </c>
      <c r="N26" s="44">
        <f t="shared" si="0"/>
        <v>0</v>
      </c>
      <c r="O26" s="44">
        <f>O29+O48+O125+O129</f>
        <v>8536.6742609309877</v>
      </c>
      <c r="P26" s="44">
        <f>P29+P48+P125+P129</f>
        <v>8577.6760768000004</v>
      </c>
      <c r="R26" s="104"/>
      <c r="S26" s="146"/>
      <c r="T26" s="103"/>
      <c r="U26" s="103"/>
      <c r="V26" s="103"/>
      <c r="W26" s="103"/>
    </row>
    <row r="27" spans="1:23" ht="93.75" x14ac:dyDescent="0.2">
      <c r="A27" s="16" t="s">
        <v>152</v>
      </c>
      <c r="B27" s="11" t="s">
        <v>62</v>
      </c>
      <c r="C27" s="29">
        <f>C29/C26*C31+C48/C26*C50+C125/C26*C127+C129/C26*C131</f>
        <v>92.884537522612547</v>
      </c>
      <c r="D27" s="65">
        <f t="shared" ref="D27:P27" si="2">D29/D26*D31+D48/D26*D50+D125/D26*D127+D129/D26*D131</f>
        <v>122.15989792495144</v>
      </c>
      <c r="E27" s="65">
        <f t="shared" si="2"/>
        <v>98.761105252740165</v>
      </c>
      <c r="F27" s="29">
        <f>F29/F26*F31+F48/F26*F50+F125/F26*F127+F129/F26*F131</f>
        <v>94.224482232539231</v>
      </c>
      <c r="G27" s="29">
        <f>G29/G26*G31+G48/G26*G50+G125/G26*G127+G129/G26*G131</f>
        <v>121.46533929442347</v>
      </c>
      <c r="H27" s="29">
        <f>H29/H26*H31+H48/H26*H50+H125/H26*H127+H129/H26*H131</f>
        <v>163.07413263643662</v>
      </c>
      <c r="I27" s="29">
        <f t="shared" si="2"/>
        <v>143.07342406484329</v>
      </c>
      <c r="J27" s="29">
        <f>J29/J26*J31+J48/J26*J50+J125/J26*J127+J129/J26*J131</f>
        <v>144.8198919390714</v>
      </c>
      <c r="K27" s="29" t="e">
        <f t="shared" si="2"/>
        <v>#DIV/0!</v>
      </c>
      <c r="L27" s="29">
        <f t="shared" si="2"/>
        <v>98.771624064326886</v>
      </c>
      <c r="M27" s="29">
        <f t="shared" si="2"/>
        <v>99.439554620352382</v>
      </c>
      <c r="N27" s="29" t="e">
        <f t="shared" si="2"/>
        <v>#DIV/0!</v>
      </c>
      <c r="O27" s="29">
        <f t="shared" si="2"/>
        <v>98.946595873570786</v>
      </c>
      <c r="P27" s="29">
        <f t="shared" si="2"/>
        <v>99.436001864467414</v>
      </c>
    </row>
    <row r="28" spans="1:23" ht="18.75" x14ac:dyDescent="0.2">
      <c r="A28" s="10" t="s">
        <v>153</v>
      </c>
      <c r="B28" s="11"/>
      <c r="C28" s="5"/>
      <c r="D28" s="66"/>
      <c r="E28" s="66"/>
      <c r="F28" s="5"/>
      <c r="G28" s="5"/>
      <c r="H28" s="5"/>
      <c r="I28" s="5"/>
      <c r="J28" s="5"/>
      <c r="K28" s="5"/>
      <c r="L28" s="5"/>
      <c r="M28" s="5"/>
      <c r="N28" s="5"/>
      <c r="O28" s="21"/>
      <c r="P28" s="21"/>
    </row>
    <row r="29" spans="1:23" ht="75" x14ac:dyDescent="0.2">
      <c r="A29" s="16" t="s">
        <v>160</v>
      </c>
      <c r="B29" s="11" t="s">
        <v>151</v>
      </c>
      <c r="C29" s="42">
        <f t="shared" ref="C29:J29" si="3">C38+C41</f>
        <v>681.5</v>
      </c>
      <c r="D29" s="67">
        <f t="shared" si="3"/>
        <v>1127</v>
      </c>
      <c r="E29" s="67">
        <f t="shared" si="3"/>
        <v>1000.9</v>
      </c>
      <c r="F29" s="44">
        <f t="shared" si="3"/>
        <v>786.3</v>
      </c>
      <c r="G29" s="44">
        <f t="shared" si="3"/>
        <v>1294.9000000000001</v>
      </c>
      <c r="H29" s="44">
        <f t="shared" si="3"/>
        <v>3158.4</v>
      </c>
      <c r="I29" s="44">
        <f t="shared" si="3"/>
        <v>5346.5</v>
      </c>
      <c r="J29" s="44">
        <f t="shared" si="3"/>
        <v>5374</v>
      </c>
      <c r="K29" s="43"/>
      <c r="L29" s="44">
        <f>L38+L41</f>
        <v>5468</v>
      </c>
      <c r="M29" s="44">
        <f>M38+M41</f>
        <v>5485.7</v>
      </c>
      <c r="N29" s="43"/>
      <c r="O29" s="44">
        <f>O38+O41</f>
        <v>5580.8</v>
      </c>
      <c r="P29" s="44">
        <f>P38+P41</f>
        <v>5589.9</v>
      </c>
    </row>
    <row r="30" spans="1:23" ht="40.5" customHeight="1" x14ac:dyDescent="0.2">
      <c r="A30" s="16" t="s">
        <v>161</v>
      </c>
      <c r="B30" s="11" t="s">
        <v>139</v>
      </c>
      <c r="C30" s="40">
        <v>105.9</v>
      </c>
      <c r="D30" s="63">
        <v>95</v>
      </c>
      <c r="E30" s="66">
        <v>107.9</v>
      </c>
      <c r="F30" s="5">
        <v>140</v>
      </c>
      <c r="G30" s="5">
        <v>91.3</v>
      </c>
      <c r="H30" s="5">
        <v>101.6</v>
      </c>
      <c r="I30" s="5">
        <v>104.6</v>
      </c>
      <c r="J30" s="5">
        <v>103.9</v>
      </c>
      <c r="K30" s="5"/>
      <c r="L30" s="5">
        <v>103.8</v>
      </c>
      <c r="M30" s="5">
        <v>103</v>
      </c>
      <c r="N30" s="5"/>
      <c r="O30" s="21">
        <v>103.4</v>
      </c>
      <c r="P30" s="21">
        <v>102.7</v>
      </c>
    </row>
    <row r="31" spans="1:23" ht="93.75" x14ac:dyDescent="0.2">
      <c r="A31" s="16" t="s">
        <v>162</v>
      </c>
      <c r="B31" s="11" t="s">
        <v>62</v>
      </c>
      <c r="C31" s="5">
        <f t="shared" ref="C31:J31" si="4">C38/C29*C40+C41/C29*C42</f>
        <v>102.59427286047999</v>
      </c>
      <c r="D31" s="65">
        <f t="shared" si="4"/>
        <v>144.00390889603278</v>
      </c>
      <c r="E31" s="65">
        <f t="shared" si="4"/>
        <v>81.918022948882552</v>
      </c>
      <c r="F31" s="29">
        <f>F38/F29*F40+F41/F29*F42</f>
        <v>73.098679195115764</v>
      </c>
      <c r="G31" s="29">
        <f>G38/G29*G40+G41/G29*G42</f>
        <v>153.1256257465194</v>
      </c>
      <c r="H31" s="29">
        <f>H38/H29*H40+H41/H29*H42</f>
        <v>214.10739127580899</v>
      </c>
      <c r="I31" s="29">
        <f>I38/I29*I40+I41/I29*I42</f>
        <v>165.24945003145453</v>
      </c>
      <c r="J31" s="29">
        <f t="shared" si="4"/>
        <v>167.40917309478937</v>
      </c>
      <c r="K31" s="29"/>
      <c r="L31" s="29">
        <f>L38/L29*L40+L41/L29*L42</f>
        <v>98.158716545165589</v>
      </c>
      <c r="M31" s="29">
        <f>M38/M29*M40+M41/M29*M42</f>
        <v>98.646929797895027</v>
      </c>
      <c r="N31" s="29"/>
      <c r="O31" s="29">
        <f>O38/O29*O40+O41/O29*O42</f>
        <v>98.000380502773609</v>
      </c>
      <c r="P31" s="29">
        <f>P38/P29*P40+P41/P29*P42</f>
        <v>98.403143103282687</v>
      </c>
    </row>
    <row r="32" spans="1:23" ht="56.25" x14ac:dyDescent="0.2">
      <c r="A32" s="16" t="s">
        <v>163</v>
      </c>
      <c r="B32" s="11" t="s">
        <v>151</v>
      </c>
      <c r="C32" s="5"/>
      <c r="D32" s="66"/>
      <c r="E32" s="6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20" ht="24" customHeight="1" x14ac:dyDescent="0.2">
      <c r="A33" s="16" t="s">
        <v>164</v>
      </c>
      <c r="B33" s="11" t="s">
        <v>139</v>
      </c>
      <c r="C33" s="5"/>
      <c r="D33" s="66"/>
      <c r="E33" s="6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20" ht="93.75" x14ac:dyDescent="0.2">
      <c r="A34" s="16" t="s">
        <v>165</v>
      </c>
      <c r="B34" s="11" t="s">
        <v>62</v>
      </c>
      <c r="C34" s="5"/>
      <c r="D34" s="66"/>
      <c r="E34" s="6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20" ht="75" x14ac:dyDescent="0.2">
      <c r="A35" s="16" t="s">
        <v>261</v>
      </c>
      <c r="B35" s="11" t="s">
        <v>151</v>
      </c>
      <c r="C35" s="5"/>
      <c r="D35" s="66"/>
      <c r="E35" s="6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20" ht="56.25" x14ac:dyDescent="0.2">
      <c r="A36" s="16" t="s">
        <v>262</v>
      </c>
      <c r="B36" s="11" t="s">
        <v>139</v>
      </c>
      <c r="C36" s="5"/>
      <c r="D36" s="66"/>
      <c r="E36" s="6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20" ht="93.75" x14ac:dyDescent="0.2">
      <c r="A37" s="16" t="s">
        <v>263</v>
      </c>
      <c r="B37" s="11" t="s">
        <v>62</v>
      </c>
      <c r="C37" s="5"/>
      <c r="D37" s="66"/>
      <c r="E37" s="6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20" ht="83.25" customHeight="1" x14ac:dyDescent="0.2">
      <c r="A38" s="10" t="s">
        <v>166</v>
      </c>
      <c r="B38" s="11" t="s">
        <v>151</v>
      </c>
      <c r="C38" s="43">
        <v>558</v>
      </c>
      <c r="D38" s="64">
        <v>952.6</v>
      </c>
      <c r="E38" s="64">
        <v>848.4</v>
      </c>
      <c r="F38" s="43">
        <v>588</v>
      </c>
      <c r="G38" s="43">
        <v>1061</v>
      </c>
      <c r="H38" s="43">
        <v>2831</v>
      </c>
      <c r="I38" s="44">
        <v>5000</v>
      </c>
      <c r="J38" s="43">
        <v>5027</v>
      </c>
      <c r="K38" s="43"/>
      <c r="L38" s="44">
        <v>5100</v>
      </c>
      <c r="M38" s="43">
        <v>5115</v>
      </c>
      <c r="N38" s="43"/>
      <c r="O38" s="44">
        <v>5195</v>
      </c>
      <c r="P38" s="43">
        <v>5203</v>
      </c>
    </row>
    <row r="39" spans="1:20" ht="56.25" x14ac:dyDescent="0.2">
      <c r="A39" s="16" t="s">
        <v>167</v>
      </c>
      <c r="B39" s="11" t="s">
        <v>139</v>
      </c>
      <c r="C39" s="39">
        <v>108</v>
      </c>
      <c r="D39" s="66">
        <v>113.1</v>
      </c>
      <c r="E39" s="65">
        <v>114.6</v>
      </c>
      <c r="F39" s="29">
        <v>109.4</v>
      </c>
      <c r="G39" s="29">
        <v>110.1</v>
      </c>
      <c r="H39" s="29">
        <v>117.8</v>
      </c>
      <c r="I39" s="29">
        <v>104.3</v>
      </c>
      <c r="J39" s="29">
        <v>103.4</v>
      </c>
      <c r="K39" s="29"/>
      <c r="L39" s="29">
        <v>104.4</v>
      </c>
      <c r="M39" s="29">
        <v>103.5</v>
      </c>
      <c r="N39" s="29"/>
      <c r="O39" s="29">
        <v>104.4</v>
      </c>
      <c r="P39" s="29">
        <v>103.7</v>
      </c>
    </row>
    <row r="40" spans="1:20" ht="93.75" x14ac:dyDescent="0.2">
      <c r="A40" s="16" t="s">
        <v>168</v>
      </c>
      <c r="B40" s="11" t="s">
        <v>62</v>
      </c>
      <c r="C40" s="45">
        <f>C38/495.8/C39*100*100</f>
        <v>104.20868629823855</v>
      </c>
      <c r="D40" s="65">
        <f t="shared" ref="D40:I40" si="5">D38/C38/D39*100*100</f>
        <v>150.94327663849353</v>
      </c>
      <c r="E40" s="65">
        <f t="shared" si="5"/>
        <v>77.715109817935584</v>
      </c>
      <c r="F40" s="29">
        <f t="shared" si="5"/>
        <v>63.351856209386938</v>
      </c>
      <c r="G40" s="29">
        <f t="shared" si="5"/>
        <v>163.889352289508</v>
      </c>
      <c r="H40" s="29">
        <f t="shared" si="5"/>
        <v>226.50573105104738</v>
      </c>
      <c r="I40" s="29">
        <f t="shared" si="5"/>
        <v>169.33464691863435</v>
      </c>
      <c r="J40" s="29">
        <f>J38/H38/J39*100*100</f>
        <v>171.73091231577442</v>
      </c>
      <c r="K40" s="29"/>
      <c r="L40" s="29">
        <f>L38/I38/L39*100*100</f>
        <v>97.701149425287355</v>
      </c>
      <c r="M40" s="29">
        <f>M38/J38/M39*100*100</f>
        <v>98.309707290774725</v>
      </c>
      <c r="N40" s="29"/>
      <c r="O40" s="29">
        <f>O38/L38/O39*100*100</f>
        <v>97.569679212681223</v>
      </c>
      <c r="P40" s="29">
        <f>P38/M38/P39*100*100</f>
        <v>98.09106085586005</v>
      </c>
    </row>
    <row r="41" spans="1:20" ht="82.5" customHeight="1" x14ac:dyDescent="0.2">
      <c r="A41" s="10" t="s">
        <v>169</v>
      </c>
      <c r="B41" s="11" t="s">
        <v>151</v>
      </c>
      <c r="C41" s="46">
        <v>123.5</v>
      </c>
      <c r="D41" s="68">
        <v>174.4</v>
      </c>
      <c r="E41" s="64">
        <v>152.5</v>
      </c>
      <c r="F41" s="43">
        <v>198.3</v>
      </c>
      <c r="G41" s="43">
        <v>233.9</v>
      </c>
      <c r="H41" s="43">
        <v>327.39999999999998</v>
      </c>
      <c r="I41" s="44">
        <v>346.5</v>
      </c>
      <c r="J41" s="43">
        <v>347</v>
      </c>
      <c r="K41" s="43"/>
      <c r="L41" s="44">
        <v>368</v>
      </c>
      <c r="M41" s="43">
        <v>370.7</v>
      </c>
      <c r="N41" s="43"/>
      <c r="O41" s="44">
        <v>385.8</v>
      </c>
      <c r="P41" s="43">
        <v>386.9</v>
      </c>
    </row>
    <row r="42" spans="1:20" ht="56.25" x14ac:dyDescent="0.2">
      <c r="A42" s="16" t="s">
        <v>170</v>
      </c>
      <c r="B42" s="11" t="s">
        <v>139</v>
      </c>
      <c r="C42" s="40">
        <v>95.3</v>
      </c>
      <c r="D42" s="63">
        <v>106.1</v>
      </c>
      <c r="E42" s="65">
        <v>105.3</v>
      </c>
      <c r="F42" s="29">
        <v>102</v>
      </c>
      <c r="G42" s="29">
        <v>104.3</v>
      </c>
      <c r="H42" s="29">
        <v>106.9</v>
      </c>
      <c r="I42" s="29">
        <v>106.3</v>
      </c>
      <c r="J42" s="29">
        <v>104.8</v>
      </c>
      <c r="K42" s="29"/>
      <c r="L42" s="29">
        <v>104.5</v>
      </c>
      <c r="M42" s="29">
        <v>103.3</v>
      </c>
      <c r="N42" s="29"/>
      <c r="O42" s="29">
        <v>103.8</v>
      </c>
      <c r="P42" s="29">
        <v>102.6</v>
      </c>
    </row>
    <row r="43" spans="1:20" ht="93.75" x14ac:dyDescent="0.2">
      <c r="A43" s="16" t="s">
        <v>171</v>
      </c>
      <c r="B43" s="11" t="s">
        <v>62</v>
      </c>
      <c r="C43" s="45">
        <f>C41/131.2/C42*100*100</f>
        <v>98.773449696721528</v>
      </c>
      <c r="D43" s="65">
        <f>D41/C41/D42*100*100</f>
        <v>133.09573506011822</v>
      </c>
      <c r="E43" s="65">
        <f>E41/D41/E42*100*100</f>
        <v>83.041463010881984</v>
      </c>
      <c r="F43" s="29">
        <f>F41/E41/F42*100*100</f>
        <v>127.48312439729992</v>
      </c>
      <c r="G43" s="29">
        <f>G41/F41/G42*100*100</f>
        <v>113.08973832707447</v>
      </c>
      <c r="H43" s="29">
        <f>H41/F41/H42*100*100</f>
        <v>154.44656568672818</v>
      </c>
      <c r="I43" s="29">
        <f>I41/H41/I42*100*100</f>
        <v>99.561469797388824</v>
      </c>
      <c r="J43" s="29">
        <f>J41/H41/J42*100*100</f>
        <v>101.13221448656313</v>
      </c>
      <c r="K43" s="5"/>
      <c r="L43" s="29">
        <f>L41/I41/L42*100*100</f>
        <v>101.6314891912978</v>
      </c>
      <c r="M43" s="29">
        <f>M41/J41/M42*100*100</f>
        <v>103.41720346714057</v>
      </c>
      <c r="N43" s="5"/>
      <c r="O43" s="29">
        <f>O41/L41/O42*100*100</f>
        <v>100.99899472229204</v>
      </c>
      <c r="P43" s="29">
        <f>P41/M41/P42*100*100</f>
        <v>101.72525399762633</v>
      </c>
    </row>
    <row r="44" spans="1:20" ht="75" x14ac:dyDescent="0.2">
      <c r="A44" s="16" t="s">
        <v>264</v>
      </c>
      <c r="B44" s="11" t="s">
        <v>151</v>
      </c>
      <c r="C44" s="20"/>
      <c r="D44" s="69"/>
      <c r="E44" s="6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T44" s="102"/>
    </row>
    <row r="45" spans="1:20" ht="56.25" x14ac:dyDescent="0.2">
      <c r="A45" s="16" t="s">
        <v>265</v>
      </c>
      <c r="B45" s="11" t="s">
        <v>139</v>
      </c>
      <c r="C45" s="20"/>
      <c r="D45" s="69"/>
      <c r="E45" s="6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20" ht="93.75" x14ac:dyDescent="0.2">
      <c r="A46" s="16" t="s">
        <v>266</v>
      </c>
      <c r="B46" s="11" t="s">
        <v>62</v>
      </c>
      <c r="C46" s="20"/>
      <c r="D46" s="69"/>
      <c r="E46" s="6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20" ht="18.75" x14ac:dyDescent="0.2">
      <c r="A47" s="10" t="s">
        <v>154</v>
      </c>
      <c r="B47" s="4"/>
      <c r="C47" s="5"/>
      <c r="D47" s="66"/>
      <c r="E47" s="6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S47" s="120"/>
    </row>
    <row r="48" spans="1:20" ht="85.5" customHeight="1" x14ac:dyDescent="0.2">
      <c r="A48" s="10" t="s">
        <v>172</v>
      </c>
      <c r="B48" s="4" t="s">
        <v>151</v>
      </c>
      <c r="C48" s="43">
        <v>939.2</v>
      </c>
      <c r="D48" s="64">
        <v>1049.8</v>
      </c>
      <c r="E48" s="67">
        <v>1199</v>
      </c>
      <c r="F48" s="44">
        <v>1313.9</v>
      </c>
      <c r="G48" s="44">
        <v>1328.6</v>
      </c>
      <c r="H48" s="44">
        <v>1358.2</v>
      </c>
      <c r="I48" s="44">
        <v>1377.3</v>
      </c>
      <c r="J48" s="44">
        <v>1378.9</v>
      </c>
      <c r="K48" s="43"/>
      <c r="L48" s="44">
        <v>1385.2</v>
      </c>
      <c r="M48" s="44">
        <v>1390.1</v>
      </c>
      <c r="N48" s="43"/>
      <c r="O48" s="44">
        <v>1405.6</v>
      </c>
      <c r="P48" s="125">
        <v>1410.3</v>
      </c>
      <c r="S48" s="147"/>
      <c r="T48" s="148"/>
    </row>
    <row r="49" spans="1:16" ht="56.25" x14ac:dyDescent="0.2">
      <c r="A49" s="16" t="s">
        <v>173</v>
      </c>
      <c r="B49" s="4" t="s">
        <v>139</v>
      </c>
      <c r="C49" s="5">
        <v>104.2</v>
      </c>
      <c r="D49" s="70">
        <v>103.3</v>
      </c>
      <c r="E49" s="65">
        <v>108.1</v>
      </c>
      <c r="F49" s="29">
        <v>119.9</v>
      </c>
      <c r="G49" s="29">
        <v>104.7</v>
      </c>
      <c r="H49" s="29">
        <v>107.7</v>
      </c>
      <c r="I49" s="29">
        <v>106.2</v>
      </c>
      <c r="J49" s="29">
        <v>105</v>
      </c>
      <c r="K49" s="29"/>
      <c r="L49" s="29">
        <v>104.4</v>
      </c>
      <c r="M49" s="29">
        <v>103.5</v>
      </c>
      <c r="N49" s="29"/>
      <c r="O49" s="29">
        <v>104</v>
      </c>
      <c r="P49" s="29">
        <v>103.5</v>
      </c>
    </row>
    <row r="50" spans="1:16" ht="93.75" x14ac:dyDescent="0.2">
      <c r="A50" s="16" t="s">
        <v>174</v>
      </c>
      <c r="B50" s="4" t="s">
        <v>62</v>
      </c>
      <c r="C50" s="45">
        <f>C48/1008/C49*100*100</f>
        <v>89.419004966029931</v>
      </c>
      <c r="D50" s="65">
        <f>D48/C48/D49*100*100</f>
        <v>108.20520770287496</v>
      </c>
      <c r="E50" s="65">
        <f>E48/D48/E49*10000</f>
        <v>105.65423765136357</v>
      </c>
      <c r="F50" s="29">
        <f>F48/E48/F49*10000</f>
        <v>91.395317615944904</v>
      </c>
      <c r="G50" s="29">
        <f>G48/F48/G49*10000</f>
        <v>96.579566959204016</v>
      </c>
      <c r="H50" s="29">
        <f>H48/F48/H49*10000</f>
        <v>95.981097193545779</v>
      </c>
      <c r="I50" s="29">
        <f>I48/H48/I49*10000</f>
        <v>95.486132776265023</v>
      </c>
      <c r="J50" s="29">
        <f>J48/H48/J49*10000</f>
        <v>96.689596174208177</v>
      </c>
      <c r="K50" s="5"/>
      <c r="L50" s="29">
        <f>L48/I48/L49*10000</f>
        <v>96.334852491951466</v>
      </c>
      <c r="M50" s="29">
        <f>M48/J48/M49*10000</f>
        <v>97.403132021148252</v>
      </c>
      <c r="N50" s="5"/>
      <c r="O50" s="29">
        <f>O48/L48/O49*10000</f>
        <v>97.569914924809538</v>
      </c>
      <c r="P50" s="29">
        <f>P48/M48/P49*10000</f>
        <v>98.022350597235743</v>
      </c>
    </row>
    <row r="51" spans="1:16" ht="75" x14ac:dyDescent="0.2">
      <c r="A51" s="16" t="s">
        <v>175</v>
      </c>
      <c r="B51" s="4" t="s">
        <v>151</v>
      </c>
      <c r="C51" s="5"/>
      <c r="D51" s="70"/>
      <c r="E51" s="66"/>
      <c r="F51" s="5"/>
      <c r="G51" s="5"/>
      <c r="H51" s="5"/>
      <c r="I51" s="25"/>
      <c r="J51" s="5"/>
      <c r="K51" s="5"/>
      <c r="L51" s="5"/>
      <c r="M51" s="5"/>
      <c r="N51" s="5"/>
      <c r="O51" s="21"/>
      <c r="P51" s="21"/>
    </row>
    <row r="52" spans="1:16" ht="56.25" x14ac:dyDescent="0.2">
      <c r="A52" s="16" t="s">
        <v>176</v>
      </c>
      <c r="B52" s="4" t="s">
        <v>139</v>
      </c>
      <c r="C52" s="5"/>
      <c r="D52" s="70"/>
      <c r="E52" s="6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93.75" x14ac:dyDescent="0.2">
      <c r="A53" s="16" t="s">
        <v>177</v>
      </c>
      <c r="B53" s="4" t="s">
        <v>62</v>
      </c>
      <c r="C53" s="5"/>
      <c r="D53" s="70"/>
      <c r="E53" s="70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t="75" x14ac:dyDescent="0.2">
      <c r="A54" s="16" t="s">
        <v>178</v>
      </c>
      <c r="B54" s="11" t="s">
        <v>151</v>
      </c>
      <c r="C54" s="20"/>
      <c r="D54" s="69"/>
      <c r="E54" s="6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56.25" x14ac:dyDescent="0.2">
      <c r="A55" s="16" t="s">
        <v>179</v>
      </c>
      <c r="B55" s="11" t="s">
        <v>139</v>
      </c>
      <c r="C55" s="5"/>
      <c r="D55" s="70"/>
      <c r="E55" s="6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93.75" x14ac:dyDescent="0.2">
      <c r="A56" s="16" t="s">
        <v>180</v>
      </c>
      <c r="B56" s="11" t="s">
        <v>62</v>
      </c>
      <c r="C56" s="20"/>
      <c r="D56" s="69"/>
      <c r="E56" s="6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75" x14ac:dyDescent="0.2">
      <c r="A57" s="16" t="s">
        <v>181</v>
      </c>
      <c r="B57" s="11" t="s">
        <v>151</v>
      </c>
      <c r="C57" s="20"/>
      <c r="D57" s="69"/>
      <c r="E57" s="69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56.25" x14ac:dyDescent="0.2">
      <c r="A58" s="16" t="s">
        <v>182</v>
      </c>
      <c r="B58" s="11" t="s">
        <v>139</v>
      </c>
      <c r="C58" s="5"/>
      <c r="D58" s="70"/>
      <c r="E58" s="6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93.75" x14ac:dyDescent="0.2">
      <c r="A59" s="16" t="s">
        <v>183</v>
      </c>
      <c r="B59" s="11" t="s">
        <v>62</v>
      </c>
      <c r="C59" s="20"/>
      <c r="D59" s="69"/>
      <c r="E59" s="6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75" x14ac:dyDescent="0.2">
      <c r="A60" s="16" t="s">
        <v>184</v>
      </c>
      <c r="B60" s="11" t="s">
        <v>151</v>
      </c>
      <c r="C60" s="20"/>
      <c r="D60" s="69"/>
      <c r="E60" s="69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56.25" x14ac:dyDescent="0.2">
      <c r="A61" s="16" t="s">
        <v>185</v>
      </c>
      <c r="B61" s="11" t="s">
        <v>139</v>
      </c>
      <c r="C61" s="20"/>
      <c r="D61" s="69"/>
      <c r="E61" s="6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56.25" x14ac:dyDescent="0.2">
      <c r="A62" s="16" t="s">
        <v>186</v>
      </c>
      <c r="B62" s="11" t="s">
        <v>139</v>
      </c>
      <c r="C62" s="20"/>
      <c r="D62" s="69"/>
      <c r="E62" s="6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56.25" x14ac:dyDescent="0.2">
      <c r="A63" s="16" t="s">
        <v>187</v>
      </c>
      <c r="B63" s="11" t="s">
        <v>151</v>
      </c>
      <c r="C63" s="20"/>
      <c r="D63" s="69"/>
      <c r="E63" s="6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56.25" x14ac:dyDescent="0.2">
      <c r="A64" s="16" t="s">
        <v>188</v>
      </c>
      <c r="B64" s="11" t="s">
        <v>139</v>
      </c>
      <c r="C64" s="20"/>
      <c r="D64" s="69"/>
      <c r="E64" s="6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93.75" x14ac:dyDescent="0.2">
      <c r="A65" s="16" t="s">
        <v>189</v>
      </c>
      <c r="B65" s="11" t="s">
        <v>62</v>
      </c>
      <c r="C65" s="20"/>
      <c r="D65" s="69"/>
      <c r="E65" s="6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75" x14ac:dyDescent="0.2">
      <c r="A66" s="16" t="s">
        <v>190</v>
      </c>
      <c r="B66" s="4" t="s">
        <v>151</v>
      </c>
      <c r="C66" s="20"/>
      <c r="D66" s="69"/>
      <c r="E66" s="6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56.25" x14ac:dyDescent="0.2">
      <c r="A67" s="16" t="s">
        <v>191</v>
      </c>
      <c r="B67" s="4" t="s">
        <v>139</v>
      </c>
      <c r="C67" s="20"/>
      <c r="D67" s="69"/>
      <c r="E67" s="6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93.75" x14ac:dyDescent="0.2">
      <c r="A68" s="16" t="s">
        <v>192</v>
      </c>
      <c r="B68" s="4" t="s">
        <v>62</v>
      </c>
      <c r="C68" s="20"/>
      <c r="D68" s="69"/>
      <c r="E68" s="6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12.5" x14ac:dyDescent="0.2">
      <c r="A69" s="16" t="s">
        <v>193</v>
      </c>
      <c r="B69" s="4" t="s">
        <v>151</v>
      </c>
      <c r="C69" s="5"/>
      <c r="D69" s="70"/>
      <c r="E69" s="66"/>
      <c r="F69" s="5"/>
      <c r="G69" s="5"/>
      <c r="H69" s="5"/>
      <c r="I69" s="25"/>
      <c r="J69" s="5"/>
      <c r="K69" s="5"/>
      <c r="L69" s="5"/>
      <c r="M69" s="5"/>
      <c r="N69" s="5"/>
      <c r="O69" s="5"/>
      <c r="P69" s="5"/>
    </row>
    <row r="70" spans="1:16" ht="75" x14ac:dyDescent="0.2">
      <c r="A70" s="16" t="s">
        <v>194</v>
      </c>
      <c r="B70" s="4" t="s">
        <v>139</v>
      </c>
      <c r="C70" s="21"/>
      <c r="D70" s="71"/>
      <c r="E70" s="63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ht="93.75" x14ac:dyDescent="0.2">
      <c r="A71" s="16" t="s">
        <v>195</v>
      </c>
      <c r="B71" s="4" t="s">
        <v>62</v>
      </c>
      <c r="C71" s="5"/>
      <c r="D71" s="70"/>
      <c r="E71" s="70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ht="75" x14ac:dyDescent="0.2">
      <c r="A72" s="16" t="s">
        <v>196</v>
      </c>
      <c r="B72" s="4" t="s">
        <v>151</v>
      </c>
      <c r="C72" s="20"/>
      <c r="D72" s="69"/>
      <c r="E72" s="6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56.25" x14ac:dyDescent="0.2">
      <c r="A73" s="16" t="s">
        <v>197</v>
      </c>
      <c r="B73" s="4" t="s">
        <v>139</v>
      </c>
      <c r="C73" s="20"/>
      <c r="D73" s="69"/>
      <c r="E73" s="6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93.75" x14ac:dyDescent="0.2">
      <c r="A74" s="16" t="s">
        <v>198</v>
      </c>
      <c r="B74" s="4" t="s">
        <v>62</v>
      </c>
      <c r="C74" s="20"/>
      <c r="D74" s="69"/>
      <c r="E74" s="6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93.75" x14ac:dyDescent="0.2">
      <c r="A75" s="16" t="s">
        <v>199</v>
      </c>
      <c r="B75" s="11" t="s">
        <v>151</v>
      </c>
      <c r="C75" s="21"/>
      <c r="D75" s="71"/>
      <c r="E75" s="6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56.25" x14ac:dyDescent="0.2">
      <c r="A76" s="16" t="s">
        <v>200</v>
      </c>
      <c r="B76" s="11" t="s">
        <v>139</v>
      </c>
      <c r="C76" s="5"/>
      <c r="D76" s="70"/>
      <c r="E76" s="6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93.75" x14ac:dyDescent="0.2">
      <c r="A77" s="16" t="s">
        <v>201</v>
      </c>
      <c r="B77" s="11" t="s">
        <v>62</v>
      </c>
      <c r="C77" s="5"/>
      <c r="D77" s="70"/>
      <c r="E77" s="70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ht="75" x14ac:dyDescent="0.2">
      <c r="A78" s="16" t="s">
        <v>202</v>
      </c>
      <c r="B78" s="4" t="s">
        <v>151</v>
      </c>
      <c r="C78" s="20"/>
      <c r="D78" s="72"/>
      <c r="E78" s="6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ht="56.25" x14ac:dyDescent="0.2">
      <c r="A79" s="16" t="s">
        <v>203</v>
      </c>
      <c r="B79" s="4" t="s">
        <v>139</v>
      </c>
      <c r="C79" s="20"/>
      <c r="D79" s="69"/>
      <c r="E79" s="6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6" ht="93.75" x14ac:dyDescent="0.2">
      <c r="A80" s="16" t="s">
        <v>204</v>
      </c>
      <c r="B80" s="4" t="s">
        <v>62</v>
      </c>
      <c r="C80" s="20"/>
      <c r="D80" s="69"/>
      <c r="E80" s="6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75" x14ac:dyDescent="0.2">
      <c r="A81" s="16" t="s">
        <v>205</v>
      </c>
      <c r="B81" s="4" t="s">
        <v>151</v>
      </c>
      <c r="C81" s="20"/>
      <c r="D81" s="69"/>
      <c r="E81" s="6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56.25" x14ac:dyDescent="0.2">
      <c r="A82" s="16" t="s">
        <v>206</v>
      </c>
      <c r="B82" s="4" t="s">
        <v>139</v>
      </c>
      <c r="C82" s="20"/>
      <c r="D82" s="69"/>
      <c r="E82" s="6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93.75" x14ac:dyDescent="0.2">
      <c r="A83" s="16" t="s">
        <v>207</v>
      </c>
      <c r="B83" s="4" t="s">
        <v>62</v>
      </c>
      <c r="C83" s="20"/>
      <c r="D83" s="69"/>
      <c r="E83" s="6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ht="93.75" x14ac:dyDescent="0.2">
      <c r="A84" s="16" t="s">
        <v>208</v>
      </c>
      <c r="B84" s="11" t="s">
        <v>151</v>
      </c>
      <c r="C84" s="20"/>
      <c r="D84" s="69"/>
      <c r="E84" s="6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56.25" x14ac:dyDescent="0.2">
      <c r="A85" s="16" t="s">
        <v>209</v>
      </c>
      <c r="B85" s="11" t="s">
        <v>139</v>
      </c>
      <c r="C85" s="20"/>
      <c r="D85" s="69"/>
      <c r="E85" s="6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93.75" x14ac:dyDescent="0.2">
      <c r="A86" s="16" t="s">
        <v>210</v>
      </c>
      <c r="B86" s="11" t="s">
        <v>62</v>
      </c>
      <c r="C86" s="20"/>
      <c r="D86" s="69"/>
      <c r="E86" s="69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75" x14ac:dyDescent="0.2">
      <c r="A87" s="16" t="s">
        <v>211</v>
      </c>
      <c r="B87" s="4" t="s">
        <v>151</v>
      </c>
      <c r="C87" s="20"/>
      <c r="D87" s="69"/>
      <c r="E87" s="69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ht="56.25" x14ac:dyDescent="0.2">
      <c r="A88" s="16" t="s">
        <v>212</v>
      </c>
      <c r="B88" s="4" t="s">
        <v>139</v>
      </c>
      <c r="C88" s="20"/>
      <c r="D88" s="69"/>
      <c r="E88" s="69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ht="93.75" x14ac:dyDescent="0.2">
      <c r="A89" s="16" t="s">
        <v>213</v>
      </c>
      <c r="B89" s="4" t="s">
        <v>62</v>
      </c>
      <c r="C89" s="20"/>
      <c r="D89" s="69"/>
      <c r="E89" s="6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75" x14ac:dyDescent="0.2">
      <c r="A90" s="16" t="s">
        <v>214</v>
      </c>
      <c r="B90" s="4" t="s">
        <v>151</v>
      </c>
      <c r="C90" s="20"/>
      <c r="D90" s="69"/>
      <c r="E90" s="6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56.25" x14ac:dyDescent="0.2">
      <c r="A91" s="16" t="s">
        <v>215</v>
      </c>
      <c r="B91" s="4" t="s">
        <v>139</v>
      </c>
      <c r="C91" s="20"/>
      <c r="D91" s="69"/>
      <c r="E91" s="6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ht="93.75" x14ac:dyDescent="0.2">
      <c r="A92" s="16" t="s">
        <v>216</v>
      </c>
      <c r="B92" s="4" t="s">
        <v>62</v>
      </c>
      <c r="C92" s="20"/>
      <c r="D92" s="69"/>
      <c r="E92" s="6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ht="75" x14ac:dyDescent="0.2">
      <c r="A93" s="16" t="s">
        <v>217</v>
      </c>
      <c r="B93" s="4" t="s">
        <v>151</v>
      </c>
      <c r="C93" s="20"/>
      <c r="D93" s="69"/>
      <c r="E93" s="6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ht="56.25" x14ac:dyDescent="0.2">
      <c r="A94" s="16" t="s">
        <v>218</v>
      </c>
      <c r="B94" s="4" t="s">
        <v>139</v>
      </c>
      <c r="C94" s="20"/>
      <c r="D94" s="69"/>
      <c r="E94" s="6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ht="93.75" x14ac:dyDescent="0.2">
      <c r="A95" s="16" t="s">
        <v>219</v>
      </c>
      <c r="B95" s="4" t="s">
        <v>62</v>
      </c>
      <c r="C95" s="20"/>
      <c r="D95" s="69"/>
      <c r="E95" s="6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ht="93.75" x14ac:dyDescent="0.2">
      <c r="A96" s="16" t="s">
        <v>220</v>
      </c>
      <c r="B96" s="11" t="s">
        <v>151</v>
      </c>
      <c r="C96" s="20"/>
      <c r="D96" s="69"/>
      <c r="E96" s="6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ht="56.25" x14ac:dyDescent="0.2">
      <c r="A97" s="16" t="s">
        <v>221</v>
      </c>
      <c r="B97" s="11" t="s">
        <v>139</v>
      </c>
      <c r="C97" s="20"/>
      <c r="D97" s="69"/>
      <c r="E97" s="6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ht="93.75" x14ac:dyDescent="0.2">
      <c r="A98" s="16" t="s">
        <v>222</v>
      </c>
      <c r="B98" s="11" t="s">
        <v>62</v>
      </c>
      <c r="C98" s="20"/>
      <c r="D98" s="69"/>
      <c r="E98" s="6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ht="75" x14ac:dyDescent="0.2">
      <c r="A99" s="16" t="s">
        <v>223</v>
      </c>
      <c r="B99" s="11" t="s">
        <v>151</v>
      </c>
      <c r="C99" s="20"/>
      <c r="D99" s="69"/>
      <c r="E99" s="6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56.25" x14ac:dyDescent="0.2">
      <c r="A100" s="16" t="s">
        <v>224</v>
      </c>
      <c r="B100" s="11" t="s">
        <v>139</v>
      </c>
      <c r="C100" s="20"/>
      <c r="D100" s="69"/>
      <c r="E100" s="6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ht="93.75" x14ac:dyDescent="0.2">
      <c r="A101" s="16" t="s">
        <v>225</v>
      </c>
      <c r="B101" s="11" t="s">
        <v>62</v>
      </c>
      <c r="C101" s="20"/>
      <c r="D101" s="69"/>
      <c r="E101" s="6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ht="75" x14ac:dyDescent="0.2">
      <c r="A102" s="16" t="s">
        <v>226</v>
      </c>
      <c r="B102" s="4" t="s">
        <v>151</v>
      </c>
      <c r="C102" s="20"/>
      <c r="D102" s="69"/>
      <c r="E102" s="6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ht="56.25" x14ac:dyDescent="0.2">
      <c r="A103" s="16" t="s">
        <v>227</v>
      </c>
      <c r="B103" s="4" t="s">
        <v>139</v>
      </c>
      <c r="C103" s="20"/>
      <c r="D103" s="69"/>
      <c r="E103" s="6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ht="93.75" x14ac:dyDescent="0.2">
      <c r="A104" s="16" t="s">
        <v>228</v>
      </c>
      <c r="B104" s="4" t="s">
        <v>62</v>
      </c>
      <c r="C104" s="20"/>
      <c r="D104" s="69"/>
      <c r="E104" s="6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1:16" ht="93.75" x14ac:dyDescent="0.2">
      <c r="A105" s="16" t="s">
        <v>229</v>
      </c>
      <c r="B105" s="4" t="s">
        <v>151</v>
      </c>
      <c r="C105" s="20"/>
      <c r="D105" s="69"/>
      <c r="E105" s="6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1:16" ht="56.25" x14ac:dyDescent="0.2">
      <c r="A106" s="16" t="s">
        <v>230</v>
      </c>
      <c r="B106" s="4" t="s">
        <v>139</v>
      </c>
      <c r="C106" s="20"/>
      <c r="D106" s="69"/>
      <c r="E106" s="6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1:16" ht="93.75" x14ac:dyDescent="0.2">
      <c r="A107" s="16" t="s">
        <v>231</v>
      </c>
      <c r="B107" s="4" t="s">
        <v>62</v>
      </c>
      <c r="C107" s="20"/>
      <c r="D107" s="69"/>
      <c r="E107" s="6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6" ht="93.75" x14ac:dyDescent="0.2">
      <c r="A108" s="16" t="s">
        <v>232</v>
      </c>
      <c r="B108" s="11" t="s">
        <v>151</v>
      </c>
      <c r="C108" s="20"/>
      <c r="D108" s="69"/>
      <c r="E108" s="6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1:16" ht="56.25" x14ac:dyDescent="0.2">
      <c r="A109" s="16" t="s">
        <v>233</v>
      </c>
      <c r="B109" s="11" t="s">
        <v>139</v>
      </c>
      <c r="C109" s="20"/>
      <c r="D109" s="69"/>
      <c r="E109" s="6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1:16" ht="93.75" x14ac:dyDescent="0.2">
      <c r="A110" s="16" t="s">
        <v>234</v>
      </c>
      <c r="B110" s="11" t="s">
        <v>62</v>
      </c>
      <c r="C110" s="20"/>
      <c r="D110" s="69"/>
      <c r="E110" s="6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1:16" ht="75" x14ac:dyDescent="0.2">
      <c r="A111" s="16" t="s">
        <v>235</v>
      </c>
      <c r="B111" s="11" t="s">
        <v>151</v>
      </c>
      <c r="C111" s="20"/>
      <c r="D111" s="69"/>
      <c r="E111" s="6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</row>
    <row r="112" spans="1:16" ht="56.25" x14ac:dyDescent="0.2">
      <c r="A112" s="16" t="s">
        <v>236</v>
      </c>
      <c r="B112" s="11" t="s">
        <v>139</v>
      </c>
      <c r="C112" s="20"/>
      <c r="D112" s="69"/>
      <c r="E112" s="6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1:19" ht="93.75" x14ac:dyDescent="0.2">
      <c r="A113" s="16" t="s">
        <v>237</v>
      </c>
      <c r="B113" s="11" t="s">
        <v>62</v>
      </c>
      <c r="C113" s="20"/>
      <c r="D113" s="69"/>
      <c r="E113" s="6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9" ht="56.25" x14ac:dyDescent="0.2">
      <c r="A114" s="16" t="s">
        <v>238</v>
      </c>
      <c r="B114" s="11" t="s">
        <v>151</v>
      </c>
      <c r="C114" s="20"/>
      <c r="D114" s="69"/>
      <c r="E114" s="6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1:19" ht="56.25" x14ac:dyDescent="0.2">
      <c r="A115" s="16" t="s">
        <v>239</v>
      </c>
      <c r="B115" s="11" t="s">
        <v>139</v>
      </c>
      <c r="C115" s="20"/>
      <c r="D115" s="69"/>
      <c r="E115" s="6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</row>
    <row r="116" spans="1:19" ht="93.75" x14ac:dyDescent="0.2">
      <c r="A116" s="16" t="s">
        <v>240</v>
      </c>
      <c r="B116" s="11" t="s">
        <v>62</v>
      </c>
      <c r="C116" s="20"/>
      <c r="D116" s="69"/>
      <c r="E116" s="6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</row>
    <row r="117" spans="1:19" ht="75" x14ac:dyDescent="0.2">
      <c r="A117" s="16" t="s">
        <v>241</v>
      </c>
      <c r="B117" s="11" t="s">
        <v>151</v>
      </c>
      <c r="C117" s="20"/>
      <c r="D117" s="69"/>
      <c r="E117" s="6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1:19" ht="56.25" x14ac:dyDescent="0.2">
      <c r="A118" s="16" t="s">
        <v>242</v>
      </c>
      <c r="B118" s="11" t="s">
        <v>139</v>
      </c>
      <c r="C118" s="20"/>
      <c r="D118" s="69"/>
      <c r="E118" s="6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1:19" ht="93.75" x14ac:dyDescent="0.2">
      <c r="A119" s="16" t="s">
        <v>243</v>
      </c>
      <c r="B119" s="11" t="s">
        <v>62</v>
      </c>
      <c r="C119" s="20"/>
      <c r="D119" s="69"/>
      <c r="E119" s="6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1:19" ht="75" x14ac:dyDescent="0.2">
      <c r="A120" s="16" t="s">
        <v>244</v>
      </c>
      <c r="B120" s="11" t="s">
        <v>151</v>
      </c>
      <c r="C120" s="20"/>
      <c r="D120" s="69"/>
      <c r="E120" s="6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1:19" ht="93.75" x14ac:dyDescent="0.2">
      <c r="A121" s="16" t="s">
        <v>245</v>
      </c>
      <c r="B121" s="11" t="s">
        <v>122</v>
      </c>
      <c r="C121" s="20"/>
      <c r="D121" s="69"/>
      <c r="E121" s="6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1:19" ht="56.25" x14ac:dyDescent="0.2">
      <c r="A122" s="16" t="s">
        <v>246</v>
      </c>
      <c r="B122" s="11" t="s">
        <v>139</v>
      </c>
      <c r="C122" s="20"/>
      <c r="D122" s="69"/>
      <c r="E122" s="6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1:19" ht="93.75" x14ac:dyDescent="0.2">
      <c r="A123" s="16" t="s">
        <v>247</v>
      </c>
      <c r="B123" s="11" t="s">
        <v>62</v>
      </c>
      <c r="C123" s="20"/>
      <c r="D123" s="69"/>
      <c r="E123" s="6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1:19" ht="37.5" x14ac:dyDescent="0.2">
      <c r="A124" s="10" t="s">
        <v>248</v>
      </c>
      <c r="B124" s="4"/>
      <c r="C124" s="5"/>
      <c r="D124" s="66"/>
      <c r="E124" s="6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9" ht="100.5" customHeight="1" x14ac:dyDescent="0.3">
      <c r="A125" s="10" t="s">
        <v>258</v>
      </c>
      <c r="B125" s="4" t="s">
        <v>151</v>
      </c>
      <c r="C125" s="43">
        <v>323.60000000000002</v>
      </c>
      <c r="D125" s="73">
        <v>424.7</v>
      </c>
      <c r="E125" s="67">
        <v>493.5</v>
      </c>
      <c r="F125" s="44">
        <v>560</v>
      </c>
      <c r="G125" s="44">
        <v>666.5</v>
      </c>
      <c r="H125" s="44">
        <v>756.5</v>
      </c>
      <c r="I125" s="44">
        <v>842.1</v>
      </c>
      <c r="J125" s="44">
        <v>845.6</v>
      </c>
      <c r="K125" s="44"/>
      <c r="L125" s="44">
        <v>915.3</v>
      </c>
      <c r="M125" s="44">
        <v>925.6</v>
      </c>
      <c r="N125" s="44"/>
      <c r="O125" s="44">
        <f>L125*O126*O127/10000</f>
        <v>992.8350630000001</v>
      </c>
      <c r="P125" s="44">
        <f>M125*P126*P127/10000</f>
        <v>1014.5760767999999</v>
      </c>
      <c r="S125" s="121"/>
    </row>
    <row r="126" spans="1:19" ht="56.25" x14ac:dyDescent="0.2">
      <c r="A126" s="16" t="s">
        <v>259</v>
      </c>
      <c r="B126" s="4" t="s">
        <v>139</v>
      </c>
      <c r="C126" s="5">
        <v>105.7</v>
      </c>
      <c r="D126" s="70">
        <v>103.9</v>
      </c>
      <c r="E126" s="66">
        <v>106.2</v>
      </c>
      <c r="F126" s="5">
        <v>102.1</v>
      </c>
      <c r="G126" s="5">
        <v>103.8</v>
      </c>
      <c r="H126" s="5">
        <v>104.1</v>
      </c>
      <c r="I126" s="5">
        <v>105.5</v>
      </c>
      <c r="J126" s="5">
        <v>105.5</v>
      </c>
      <c r="K126" s="5"/>
      <c r="L126" s="5">
        <v>103.7</v>
      </c>
      <c r="M126" s="5">
        <v>103.7</v>
      </c>
      <c r="N126" s="5"/>
      <c r="O126" s="5">
        <v>103.8</v>
      </c>
      <c r="P126" s="5">
        <v>103.8</v>
      </c>
    </row>
    <row r="127" spans="1:19" ht="93.75" x14ac:dyDescent="0.2">
      <c r="A127" s="16" t="s">
        <v>260</v>
      </c>
      <c r="B127" s="4" t="s">
        <v>62</v>
      </c>
      <c r="C127" s="29">
        <f>C125/355.7/C126*100*100</f>
        <v>86.069575389208168</v>
      </c>
      <c r="D127" s="74">
        <f>D125/C125/D126*100*100</f>
        <v>126.315952274163</v>
      </c>
      <c r="E127" s="74">
        <f>E125/D125/E126*10000</f>
        <v>109.41588545719878</v>
      </c>
      <c r="F127" s="28">
        <f>F125/E125/F126*10000</f>
        <v>111.1412118559888</v>
      </c>
      <c r="G127" s="28">
        <f>G125/F125/G126*10000</f>
        <v>114.66074869254061</v>
      </c>
      <c r="H127" s="28">
        <f>H125/G125/H126*10000</f>
        <v>109.03302194424688</v>
      </c>
      <c r="I127" s="28">
        <f>I125/H125/I126*10000</f>
        <v>105.51210206645095</v>
      </c>
      <c r="J127" s="28">
        <f>J125/H125/J126*10000</f>
        <v>105.95063948152347</v>
      </c>
      <c r="K127" s="28"/>
      <c r="L127" s="28">
        <f>L125/J125/L126*10000</f>
        <v>104.38058623731763</v>
      </c>
      <c r="M127" s="28">
        <f>M125/J125/M126*10000</f>
        <v>105.55519569677833</v>
      </c>
      <c r="N127" s="28"/>
      <c r="O127" s="28">
        <v>104.5</v>
      </c>
      <c r="P127" s="28">
        <v>105.6</v>
      </c>
    </row>
    <row r="128" spans="1:19" ht="56.25" x14ac:dyDescent="0.2">
      <c r="A128" s="10" t="s">
        <v>252</v>
      </c>
      <c r="B128" s="4"/>
      <c r="C128" s="20"/>
      <c r="D128" s="75"/>
      <c r="E128" s="6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23" ht="119.25" customHeight="1" x14ac:dyDescent="0.2">
      <c r="A129" s="10" t="s">
        <v>249</v>
      </c>
      <c r="B129" s="4" t="s">
        <v>151</v>
      </c>
      <c r="C129" s="47">
        <v>318.2</v>
      </c>
      <c r="D129" s="76">
        <v>241.8</v>
      </c>
      <c r="E129" s="76">
        <v>276.3</v>
      </c>
      <c r="F129" s="126">
        <v>353.2</v>
      </c>
      <c r="G129" s="126">
        <v>419.2</v>
      </c>
      <c r="H129" s="127">
        <v>463.2</v>
      </c>
      <c r="I129" s="44">
        <v>497.3</v>
      </c>
      <c r="J129" s="44">
        <v>499.1</v>
      </c>
      <c r="K129" s="44"/>
      <c r="L129" s="44">
        <f>I129*L130*L131/10000</f>
        <v>525.99520459999997</v>
      </c>
      <c r="M129" s="44">
        <v>530.5</v>
      </c>
      <c r="N129" s="44"/>
      <c r="O129" s="44">
        <f>L129*O130*O131/10000</f>
        <v>557.43919793098803</v>
      </c>
      <c r="P129" s="44">
        <v>562.9</v>
      </c>
      <c r="S129" s="147"/>
      <c r="T129" s="150"/>
      <c r="U129" s="150"/>
      <c r="V129" s="150"/>
      <c r="W129" s="150"/>
    </row>
    <row r="130" spans="1:23" ht="75" x14ac:dyDescent="0.2">
      <c r="A130" s="16" t="s">
        <v>250</v>
      </c>
      <c r="B130" s="4" t="s">
        <v>139</v>
      </c>
      <c r="C130" s="20">
        <v>102.1</v>
      </c>
      <c r="D130" s="72">
        <v>103.2</v>
      </c>
      <c r="E130" s="66">
        <v>103.1</v>
      </c>
      <c r="F130" s="5">
        <v>102.3</v>
      </c>
      <c r="G130" s="5">
        <v>104.7</v>
      </c>
      <c r="H130" s="5">
        <v>110.4</v>
      </c>
      <c r="I130" s="5">
        <v>107.3</v>
      </c>
      <c r="J130" s="5">
        <v>107.3</v>
      </c>
      <c r="K130" s="5"/>
      <c r="L130" s="5">
        <v>103.9</v>
      </c>
      <c r="M130" s="5">
        <v>103.9</v>
      </c>
      <c r="N130" s="5"/>
      <c r="O130" s="5">
        <v>103.9</v>
      </c>
      <c r="P130" s="5">
        <v>103.9</v>
      </c>
    </row>
    <row r="131" spans="1:23" ht="93.75" x14ac:dyDescent="0.2">
      <c r="A131" s="16" t="s">
        <v>251</v>
      </c>
      <c r="B131" s="4" t="s">
        <v>62</v>
      </c>
      <c r="C131" s="20">
        <f>C129/349.2/C130*10000</f>
        <v>89.248350504244755</v>
      </c>
      <c r="D131" s="77">
        <f t="shared" ref="D131:I131" si="6">D129/C129/D130*10000</f>
        <v>73.63366611608906</v>
      </c>
      <c r="E131" s="77">
        <f t="shared" si="6"/>
        <v>110.83219211876013</v>
      </c>
      <c r="F131" s="128">
        <f t="shared" si="6"/>
        <v>124.95803186146782</v>
      </c>
      <c r="G131" s="128">
        <f t="shared" si="6"/>
        <v>113.35844958523569</v>
      </c>
      <c r="H131" s="128">
        <f t="shared" si="6"/>
        <v>100.0871224692997</v>
      </c>
      <c r="I131" s="128">
        <f t="shared" si="6"/>
        <v>100.05762417768851</v>
      </c>
      <c r="J131" s="128">
        <f>J129/H129/J130*10000</f>
        <v>100.41978730561901</v>
      </c>
      <c r="K131" s="129"/>
      <c r="L131" s="128">
        <v>101.8</v>
      </c>
      <c r="M131" s="128">
        <f>M129/J129/M130*10000</f>
        <v>102.30156341086717</v>
      </c>
      <c r="N131" s="129"/>
      <c r="O131" s="128">
        <v>102</v>
      </c>
      <c r="P131" s="128">
        <f>P129/M129/P130*10000</f>
        <v>102.12458691611505</v>
      </c>
    </row>
    <row r="132" spans="1:23" ht="18.75" x14ac:dyDescent="0.2">
      <c r="A132" s="10" t="s">
        <v>296</v>
      </c>
      <c r="B132" s="4"/>
      <c r="C132" s="5"/>
      <c r="D132" s="78"/>
      <c r="E132" s="6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23" ht="18.75" x14ac:dyDescent="0.2">
      <c r="A133" s="12" t="s">
        <v>7</v>
      </c>
      <c r="B133" s="6" t="s">
        <v>8</v>
      </c>
      <c r="C133" s="41">
        <v>1884.4</v>
      </c>
      <c r="D133" s="73">
        <v>1919.9</v>
      </c>
      <c r="E133" s="73">
        <f t="shared" ref="E133:J133" si="7">E137+E140</f>
        <v>1916.9</v>
      </c>
      <c r="F133" s="125">
        <f t="shared" si="7"/>
        <v>2165.9</v>
      </c>
      <c r="G133" s="125">
        <f t="shared" si="7"/>
        <v>2702.9</v>
      </c>
      <c r="H133" s="125">
        <f t="shared" si="7"/>
        <v>3090.8999999999996</v>
      </c>
      <c r="I133" s="130">
        <f t="shared" si="7"/>
        <v>3381.2242533999997</v>
      </c>
      <c r="J133" s="130">
        <f t="shared" si="7"/>
        <v>3421.9430050000001</v>
      </c>
      <c r="K133" s="130"/>
      <c r="L133" s="130">
        <f>L137+L140</f>
        <v>3722.7025650254564</v>
      </c>
      <c r="M133" s="130">
        <f>M137+M140</f>
        <v>3779.5579271813399</v>
      </c>
      <c r="N133" s="130"/>
      <c r="O133" s="130">
        <f>O137+O140</f>
        <v>4112.0412864470018</v>
      </c>
      <c r="P133" s="130">
        <f>P137+P140</f>
        <v>4179.4333303624071</v>
      </c>
    </row>
    <row r="134" spans="1:23" ht="93.75" x14ac:dyDescent="0.2">
      <c r="A134" s="16" t="s">
        <v>9</v>
      </c>
      <c r="B134" s="4" t="s">
        <v>62</v>
      </c>
      <c r="C134" s="40">
        <f t="shared" ref="C134" si="8">C137/C133*C138+C140/C133*C141</f>
        <v>92.899130720792925</v>
      </c>
      <c r="D134" s="63">
        <f>D137/D133*D138+D140/D133*D141</f>
        <v>97.032517632073393</v>
      </c>
      <c r="E134" s="63">
        <f t="shared" ref="E134" si="9">E137/E133*E138+E140/E133*E141</f>
        <v>96.326757175226135</v>
      </c>
      <c r="F134" s="27">
        <f>F137/F133*F138+F140/F133*F141</f>
        <v>103.17295434593768</v>
      </c>
      <c r="G134" s="27">
        <f>G137/G133*G138+G140/G133*G141</f>
        <v>121.17597066935116</v>
      </c>
      <c r="H134" s="27">
        <f>H137/H133*H138+H140/H133*H141</f>
        <v>139.16651319674489</v>
      </c>
      <c r="I134" s="27">
        <f>I137/I133*I138+I140/I133*I141</f>
        <v>103.81725083528737</v>
      </c>
      <c r="J134" s="27">
        <f t="shared" ref="J134:P134" si="10">J137/J133*J138+J140/J133*J141</f>
        <v>105.83314389739166</v>
      </c>
      <c r="K134" s="27" t="e">
        <f t="shared" si="10"/>
        <v>#DIV/0!</v>
      </c>
      <c r="L134" s="27">
        <f t="shared" si="10"/>
        <v>105.73370955717573</v>
      </c>
      <c r="M134" s="27">
        <f t="shared" si="10"/>
        <v>106.45767689605009</v>
      </c>
      <c r="N134" s="27" t="e">
        <f t="shared" si="10"/>
        <v>#DIV/0!</v>
      </c>
      <c r="O134" s="27">
        <f t="shared" si="10"/>
        <v>106.38862770750765</v>
      </c>
      <c r="P134" s="27">
        <f t="shared" si="10"/>
        <v>106.54718896516657</v>
      </c>
    </row>
    <row r="135" spans="1:23" ht="56.25" x14ac:dyDescent="0.2">
      <c r="A135" s="16" t="s">
        <v>10</v>
      </c>
      <c r="B135" s="4" t="s">
        <v>139</v>
      </c>
      <c r="C135" s="21">
        <v>103.7</v>
      </c>
      <c r="D135" s="71">
        <v>105</v>
      </c>
      <c r="E135" s="65">
        <v>103.6</v>
      </c>
      <c r="F135" s="29">
        <v>109.8</v>
      </c>
      <c r="G135" s="29">
        <v>104.2</v>
      </c>
      <c r="H135" s="29">
        <v>105</v>
      </c>
      <c r="I135" s="29">
        <v>105.6</v>
      </c>
      <c r="J135" s="29">
        <v>104.7</v>
      </c>
      <c r="K135" s="29"/>
      <c r="L135" s="29">
        <v>104.3</v>
      </c>
      <c r="M135" s="29">
        <v>103.8</v>
      </c>
      <c r="N135" s="29"/>
      <c r="O135" s="29">
        <v>103.9</v>
      </c>
      <c r="P135" s="29">
        <v>103.8</v>
      </c>
    </row>
    <row r="136" spans="1:23" ht="37.5" x14ac:dyDescent="0.2">
      <c r="A136" s="16" t="s">
        <v>11</v>
      </c>
      <c r="B136" s="4"/>
      <c r="C136" s="21"/>
      <c r="D136" s="79"/>
      <c r="E136" s="6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21"/>
    </row>
    <row r="137" spans="1:23" ht="18.75" x14ac:dyDescent="0.2">
      <c r="A137" s="10" t="s">
        <v>12</v>
      </c>
      <c r="B137" s="4" t="s">
        <v>13</v>
      </c>
      <c r="C137" s="48">
        <v>583.70000000000005</v>
      </c>
      <c r="D137" s="80">
        <v>596.1</v>
      </c>
      <c r="E137" s="64">
        <v>605.1</v>
      </c>
      <c r="F137" s="43">
        <v>653.6</v>
      </c>
      <c r="G137" s="43">
        <v>694.7</v>
      </c>
      <c r="H137" s="43">
        <v>732.7</v>
      </c>
      <c r="I137" s="44">
        <f>H137*I138*I139/10000</f>
        <v>771.12425340000004</v>
      </c>
      <c r="J137" s="44">
        <f>H137*J138*J139/10000</f>
        <v>771.64300500000002</v>
      </c>
      <c r="K137" s="43"/>
      <c r="L137" s="44">
        <f>I137*L138*L139/10000</f>
        <v>807.4025650254564</v>
      </c>
      <c r="M137" s="44">
        <f>J137*M138*M139/10000</f>
        <v>811.35792718134007</v>
      </c>
      <c r="N137" s="44"/>
      <c r="O137" s="44">
        <f>L137*O138*O139/10000</f>
        <v>846.44128644700231</v>
      </c>
      <c r="P137" s="44">
        <f>M137*P138*P139/10000</f>
        <v>850.63333036240715</v>
      </c>
    </row>
    <row r="138" spans="1:23" ht="93.75" x14ac:dyDescent="0.2">
      <c r="A138" s="16" t="s">
        <v>14</v>
      </c>
      <c r="B138" s="4" t="s">
        <v>62</v>
      </c>
      <c r="C138" s="21">
        <f>C137/459.8/C139*10000</f>
        <v>122.41706699864895</v>
      </c>
      <c r="D138" s="63">
        <f>D137/C137/D139*10000</f>
        <v>97.261313296948046</v>
      </c>
      <c r="E138" s="88">
        <f>E137/D137/E139*10000</f>
        <v>97.793654903306958</v>
      </c>
      <c r="F138" s="27">
        <f>F137/E137/F139*10000</f>
        <v>97.398741297111016</v>
      </c>
      <c r="G138" s="27">
        <f>G137/F137/G139*10000</f>
        <v>100.9385087312464</v>
      </c>
      <c r="H138" s="27">
        <f>H137/F137/H139*10000</f>
        <v>104.96460972132448</v>
      </c>
      <c r="I138" s="27">
        <v>99.1</v>
      </c>
      <c r="J138" s="27">
        <v>100.3</v>
      </c>
      <c r="K138" s="27"/>
      <c r="L138" s="27">
        <v>100.1</v>
      </c>
      <c r="M138" s="27">
        <v>101.2</v>
      </c>
      <c r="N138" s="27"/>
      <c r="O138" s="27">
        <v>100.9</v>
      </c>
      <c r="P138" s="27">
        <v>101.1</v>
      </c>
      <c r="U138" s="113"/>
    </row>
    <row r="139" spans="1:23" ht="56.25" x14ac:dyDescent="0.2">
      <c r="A139" s="16" t="s">
        <v>15</v>
      </c>
      <c r="B139" s="4" t="s">
        <v>139</v>
      </c>
      <c r="C139" s="21">
        <v>103.7</v>
      </c>
      <c r="D139" s="71">
        <v>105</v>
      </c>
      <c r="E139" s="65">
        <v>103.8</v>
      </c>
      <c r="F139" s="29">
        <v>110.9</v>
      </c>
      <c r="G139" s="29">
        <v>105.3</v>
      </c>
      <c r="H139" s="29">
        <v>106.8</v>
      </c>
      <c r="I139" s="29">
        <v>106.2</v>
      </c>
      <c r="J139" s="29">
        <v>105</v>
      </c>
      <c r="K139" s="29"/>
      <c r="L139" s="29">
        <v>104.6</v>
      </c>
      <c r="M139" s="29">
        <v>103.9</v>
      </c>
      <c r="N139" s="29"/>
      <c r="O139" s="29">
        <v>103.9</v>
      </c>
      <c r="P139" s="29">
        <v>103.7</v>
      </c>
    </row>
    <row r="140" spans="1:23" ht="18.75" x14ac:dyDescent="0.2">
      <c r="A140" s="10" t="s">
        <v>16</v>
      </c>
      <c r="B140" s="4" t="s">
        <v>13</v>
      </c>
      <c r="C140" s="48">
        <v>1300.7</v>
      </c>
      <c r="D140" s="80">
        <v>1323.8</v>
      </c>
      <c r="E140" s="64">
        <v>1311.8</v>
      </c>
      <c r="F140" s="43">
        <v>1512.3</v>
      </c>
      <c r="G140" s="43">
        <v>2008.2</v>
      </c>
      <c r="H140" s="43">
        <v>2358.1999999999998</v>
      </c>
      <c r="I140" s="43">
        <v>2610.1</v>
      </c>
      <c r="J140" s="43">
        <v>2650.3</v>
      </c>
      <c r="K140" s="43"/>
      <c r="L140" s="43">
        <v>2915.3</v>
      </c>
      <c r="M140" s="43">
        <v>2968.2</v>
      </c>
      <c r="N140" s="43"/>
      <c r="O140" s="43">
        <v>3265.6</v>
      </c>
      <c r="P140" s="43">
        <v>3328.8</v>
      </c>
    </row>
    <row r="141" spans="1:23" ht="93.75" x14ac:dyDescent="0.2">
      <c r="A141" s="16" t="s">
        <v>17</v>
      </c>
      <c r="B141" s="4" t="s">
        <v>62</v>
      </c>
      <c r="C141" s="21">
        <f>C140/1574.7/C142*10000</f>
        <v>79.652710020105161</v>
      </c>
      <c r="D141" s="63">
        <f>D140/C140/D142*10000</f>
        <v>96.929492178204399</v>
      </c>
      <c r="E141" s="63">
        <f>E140/D140/E142*10000</f>
        <v>95.650114535142492</v>
      </c>
      <c r="F141" s="27">
        <f>F140/E140/F142*10000</f>
        <v>105.66850790588818</v>
      </c>
      <c r="G141" s="27">
        <f>G140/F140/G142*10000</f>
        <v>128.17674987879315</v>
      </c>
      <c r="H141" s="27">
        <f>H140/F140/H142*10000</f>
        <v>149.79314990119764</v>
      </c>
      <c r="I141" s="27">
        <f>I140/H140/I142*10000</f>
        <v>105.21090875201909</v>
      </c>
      <c r="J141" s="27">
        <f>J140/H140/J142*10000</f>
        <v>107.44413577909587</v>
      </c>
      <c r="K141" s="27"/>
      <c r="L141" s="27">
        <f>L140/I140/L142*10000</f>
        <v>107.29398518818184</v>
      </c>
      <c r="M141" s="27">
        <f>M140/J140/M142*10000</f>
        <v>107.89486368540675</v>
      </c>
      <c r="N141" s="27"/>
      <c r="O141" s="27">
        <f>O140/L140/O142*10000</f>
        <v>107.8112762552696</v>
      </c>
      <c r="P141" s="27">
        <f>P140/M140/P142*10000</f>
        <v>107.93915017958406</v>
      </c>
    </row>
    <row r="142" spans="1:23" ht="56.25" x14ac:dyDescent="0.2">
      <c r="A142" s="16" t="s">
        <v>18</v>
      </c>
      <c r="B142" s="4" t="s">
        <v>139</v>
      </c>
      <c r="C142" s="21">
        <v>103.7</v>
      </c>
      <c r="D142" s="71">
        <v>105</v>
      </c>
      <c r="E142" s="65">
        <v>103.6</v>
      </c>
      <c r="F142" s="29">
        <v>109.1</v>
      </c>
      <c r="G142" s="29">
        <v>103.6</v>
      </c>
      <c r="H142" s="29">
        <v>104.1</v>
      </c>
      <c r="I142" s="29">
        <v>105.2</v>
      </c>
      <c r="J142" s="29">
        <v>104.6</v>
      </c>
      <c r="K142" s="29"/>
      <c r="L142" s="29">
        <v>104.1</v>
      </c>
      <c r="M142" s="29">
        <v>103.8</v>
      </c>
      <c r="N142" s="29"/>
      <c r="O142" s="29">
        <v>103.9</v>
      </c>
      <c r="P142" s="29">
        <v>103.9</v>
      </c>
    </row>
    <row r="143" spans="1:23" ht="37.5" x14ac:dyDescent="0.2">
      <c r="A143" s="10" t="s">
        <v>309</v>
      </c>
      <c r="B143" s="4"/>
      <c r="C143" s="5"/>
      <c r="D143" s="78"/>
      <c r="E143" s="6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23" ht="18.75" x14ac:dyDescent="0.2">
      <c r="A144" s="16" t="s">
        <v>276</v>
      </c>
      <c r="B144" s="4" t="s">
        <v>21</v>
      </c>
      <c r="C144" s="5">
        <v>1.72</v>
      </c>
      <c r="D144" s="70">
        <v>2.08</v>
      </c>
      <c r="E144" s="66">
        <v>3.66</v>
      </c>
      <c r="F144" s="5">
        <v>1.6</v>
      </c>
      <c r="G144" s="5">
        <v>1.9147000000000001</v>
      </c>
      <c r="H144" s="5">
        <v>1.9247000000000001</v>
      </c>
      <c r="I144" s="5">
        <v>1.9247000000000001</v>
      </c>
      <c r="J144" s="5">
        <v>1.9247000000000001</v>
      </c>
      <c r="K144" s="5">
        <v>1.9247000000000001</v>
      </c>
      <c r="L144" s="5">
        <v>1.9247000000000001</v>
      </c>
      <c r="M144" s="5">
        <v>1.9247000000000001</v>
      </c>
      <c r="N144" s="5">
        <v>1.9247000000000001</v>
      </c>
      <c r="O144" s="5">
        <v>1.9247000000000001</v>
      </c>
      <c r="P144" s="5">
        <v>1.9247000000000001</v>
      </c>
    </row>
    <row r="145" spans="1:16" ht="18.75" x14ac:dyDescent="0.2">
      <c r="A145" s="16" t="s">
        <v>293</v>
      </c>
      <c r="B145" s="4" t="s">
        <v>21</v>
      </c>
      <c r="C145" s="5"/>
      <c r="D145" s="70"/>
      <c r="E145" s="70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1:16" ht="18.75" x14ac:dyDescent="0.2">
      <c r="A146" s="16" t="s">
        <v>277</v>
      </c>
      <c r="B146" s="4" t="s">
        <v>21</v>
      </c>
      <c r="C146" s="5"/>
      <c r="D146" s="70"/>
      <c r="E146" s="70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</row>
    <row r="147" spans="1:16" ht="18.75" x14ac:dyDescent="0.2">
      <c r="A147" s="16" t="s">
        <v>268</v>
      </c>
      <c r="B147" s="4" t="s">
        <v>21</v>
      </c>
      <c r="C147" s="5"/>
      <c r="D147" s="70"/>
      <c r="E147" s="70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</row>
    <row r="148" spans="1:16" ht="18.75" x14ac:dyDescent="0.2">
      <c r="A148" s="16" t="s">
        <v>267</v>
      </c>
      <c r="B148" s="4" t="s">
        <v>21</v>
      </c>
      <c r="C148" s="5">
        <v>12.2</v>
      </c>
      <c r="D148" s="70">
        <v>11.42</v>
      </c>
      <c r="E148" s="66">
        <v>10.43</v>
      </c>
      <c r="F148" s="123">
        <v>10.428000000000001</v>
      </c>
      <c r="G148" s="5">
        <v>11.2994</v>
      </c>
      <c r="H148" s="5">
        <v>11.4</v>
      </c>
      <c r="I148" s="5">
        <v>11.4</v>
      </c>
      <c r="J148" s="5">
        <v>11.4</v>
      </c>
      <c r="K148" s="5">
        <v>11.4</v>
      </c>
      <c r="L148" s="5">
        <v>11.4</v>
      </c>
      <c r="M148" s="5">
        <v>11.4</v>
      </c>
      <c r="N148" s="5">
        <v>11.4</v>
      </c>
      <c r="O148" s="5">
        <v>11.4</v>
      </c>
      <c r="P148" s="5">
        <v>11.4</v>
      </c>
    </row>
    <row r="149" spans="1:16" ht="18.75" x14ac:dyDescent="0.2">
      <c r="A149" s="16" t="s">
        <v>294</v>
      </c>
      <c r="B149" s="4" t="s">
        <v>21</v>
      </c>
      <c r="C149" s="5">
        <v>10.7</v>
      </c>
      <c r="D149" s="70">
        <v>10</v>
      </c>
      <c r="E149" s="66">
        <v>10.72</v>
      </c>
      <c r="F149" s="5">
        <v>11.6</v>
      </c>
      <c r="G149" s="5">
        <v>12.7301</v>
      </c>
      <c r="H149" s="5">
        <v>12.75</v>
      </c>
      <c r="I149" s="5">
        <v>12.75</v>
      </c>
      <c r="J149" s="5">
        <v>12.75</v>
      </c>
      <c r="K149" s="5">
        <v>12.75</v>
      </c>
      <c r="L149" s="5">
        <v>12.75</v>
      </c>
      <c r="M149" s="5">
        <v>12.75</v>
      </c>
      <c r="N149" s="5">
        <v>12.75</v>
      </c>
      <c r="O149" s="5">
        <v>12.75</v>
      </c>
      <c r="P149" s="5">
        <v>12.75</v>
      </c>
    </row>
    <row r="150" spans="1:16" ht="18.75" x14ac:dyDescent="0.2">
      <c r="A150" s="16" t="s">
        <v>22</v>
      </c>
      <c r="B150" s="4" t="s">
        <v>21</v>
      </c>
      <c r="C150" s="5">
        <v>5.4</v>
      </c>
      <c r="D150" s="70">
        <v>5.6</v>
      </c>
      <c r="E150" s="66">
        <v>5.4</v>
      </c>
      <c r="F150" s="5">
        <v>5.26</v>
      </c>
      <c r="G150" s="5">
        <v>6.2460000000000004</v>
      </c>
      <c r="H150" s="5">
        <v>6.4</v>
      </c>
      <c r="I150" s="5">
        <v>6.4</v>
      </c>
      <c r="J150" s="5">
        <v>6.5</v>
      </c>
      <c r="K150" s="5">
        <v>6.4</v>
      </c>
      <c r="L150" s="5">
        <v>6.4</v>
      </c>
      <c r="M150" s="5">
        <v>6.5</v>
      </c>
      <c r="N150" s="5">
        <v>6.4</v>
      </c>
      <c r="O150" s="5">
        <v>6.4</v>
      </c>
      <c r="P150" s="5">
        <v>6.5</v>
      </c>
    </row>
    <row r="151" spans="1:16" ht="18.75" x14ac:dyDescent="0.2">
      <c r="A151" s="16" t="s">
        <v>23</v>
      </c>
      <c r="B151" s="4" t="s">
        <v>21</v>
      </c>
      <c r="C151" s="5">
        <v>12.3</v>
      </c>
      <c r="D151" s="70">
        <v>11.5</v>
      </c>
      <c r="E151" s="66">
        <v>10.55</v>
      </c>
      <c r="F151" s="5">
        <v>10.67</v>
      </c>
      <c r="G151" s="5">
        <v>9.5519999999999996</v>
      </c>
      <c r="H151" s="5">
        <v>9.6</v>
      </c>
      <c r="I151" s="5">
        <v>9.6</v>
      </c>
      <c r="J151" s="5">
        <v>9.6999999999999993</v>
      </c>
      <c r="K151" s="5">
        <v>9.6</v>
      </c>
      <c r="L151" s="5">
        <v>9.6</v>
      </c>
      <c r="M151" s="5">
        <v>9.6999999999999993</v>
      </c>
      <c r="N151" s="5">
        <v>9.6</v>
      </c>
      <c r="O151" s="5">
        <v>9.6999999999999993</v>
      </c>
      <c r="P151" s="5">
        <v>9.9</v>
      </c>
    </row>
    <row r="152" spans="1:16" ht="18.75" x14ac:dyDescent="0.2">
      <c r="A152" s="16" t="s">
        <v>24</v>
      </c>
      <c r="B152" s="4" t="s">
        <v>25</v>
      </c>
      <c r="C152" s="5">
        <v>69.400000000000006</v>
      </c>
      <c r="D152" s="70">
        <v>68.3</v>
      </c>
      <c r="E152" s="65">
        <v>67.599999999999994</v>
      </c>
      <c r="F152" s="29">
        <v>68.7</v>
      </c>
      <c r="G152" s="5">
        <v>70.769000000000005</v>
      </c>
      <c r="H152" s="5">
        <v>70.900000000000006</v>
      </c>
      <c r="I152" s="5">
        <v>70.900000000000006</v>
      </c>
      <c r="J152" s="5">
        <v>71</v>
      </c>
      <c r="K152" s="5">
        <v>70.900000000000006</v>
      </c>
      <c r="L152" s="5">
        <v>70.900000000000006</v>
      </c>
      <c r="M152" s="5">
        <v>71</v>
      </c>
      <c r="N152" s="5">
        <v>70.900000000000006</v>
      </c>
      <c r="O152" s="5">
        <v>70.900000000000006</v>
      </c>
      <c r="P152" s="5">
        <v>71</v>
      </c>
    </row>
    <row r="153" spans="1:16" ht="18.75" x14ac:dyDescent="0.2">
      <c r="A153" s="16" t="s">
        <v>269</v>
      </c>
      <c r="B153" s="4" t="s">
        <v>26</v>
      </c>
      <c r="C153" s="20"/>
      <c r="D153" s="72"/>
      <c r="E153" s="6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1:16" ht="18.75" x14ac:dyDescent="0.2">
      <c r="A154" s="16" t="s">
        <v>27</v>
      </c>
      <c r="B154" s="4" t="s">
        <v>28</v>
      </c>
      <c r="C154" s="4"/>
      <c r="D154" s="69"/>
      <c r="E154" s="6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spans="1:16" ht="18.75" x14ac:dyDescent="0.2">
      <c r="A155" s="16" t="s">
        <v>288</v>
      </c>
      <c r="B155" s="4" t="s">
        <v>21</v>
      </c>
      <c r="C155" s="4"/>
      <c r="D155" s="69"/>
      <c r="E155" s="6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</row>
    <row r="156" spans="1:16" ht="18.75" x14ac:dyDescent="0.2">
      <c r="A156" s="16" t="s">
        <v>29</v>
      </c>
      <c r="B156" s="4" t="s">
        <v>30</v>
      </c>
      <c r="C156" s="4"/>
      <c r="D156" s="69"/>
      <c r="E156" s="6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</row>
    <row r="157" spans="1:16" ht="93.75" x14ac:dyDescent="0.2">
      <c r="A157" s="16" t="s">
        <v>270</v>
      </c>
      <c r="B157" s="4" t="s">
        <v>21</v>
      </c>
      <c r="C157" s="4"/>
      <c r="D157" s="69"/>
      <c r="E157" s="6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</row>
    <row r="158" spans="1:16" ht="18.75" x14ac:dyDescent="0.2">
      <c r="A158" s="16" t="s">
        <v>31</v>
      </c>
      <c r="B158" s="4" t="s">
        <v>21</v>
      </c>
      <c r="C158" s="4"/>
      <c r="D158" s="81"/>
      <c r="E158" s="8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56.25" x14ac:dyDescent="0.2">
      <c r="A159" s="16" t="s">
        <v>271</v>
      </c>
      <c r="B159" s="4" t="s">
        <v>21</v>
      </c>
      <c r="C159" s="4"/>
      <c r="D159" s="81"/>
      <c r="E159" s="8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37.5" x14ac:dyDescent="0.2">
      <c r="A160" s="16" t="s">
        <v>272</v>
      </c>
      <c r="B160" s="4" t="s">
        <v>21</v>
      </c>
      <c r="C160" s="4"/>
      <c r="D160" s="81"/>
      <c r="E160" s="8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37.5" x14ac:dyDescent="0.2">
      <c r="A161" s="16" t="s">
        <v>273</v>
      </c>
      <c r="B161" s="4" t="s">
        <v>21</v>
      </c>
      <c r="C161" s="4"/>
      <c r="D161" s="81"/>
      <c r="E161" s="8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ht="37.5" x14ac:dyDescent="0.2">
      <c r="A162" s="16" t="s">
        <v>278</v>
      </c>
      <c r="B162" s="4" t="s">
        <v>21</v>
      </c>
      <c r="C162" s="4"/>
      <c r="D162" s="81"/>
      <c r="E162" s="8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37.5" x14ac:dyDescent="0.2">
      <c r="A163" s="35" t="s">
        <v>274</v>
      </c>
      <c r="B163" s="36" t="s">
        <v>32</v>
      </c>
      <c r="C163" s="4"/>
      <c r="D163" s="81"/>
      <c r="E163" s="8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18.75" x14ac:dyDescent="0.2">
      <c r="A164" s="16" t="s">
        <v>33</v>
      </c>
      <c r="B164" s="4" t="s">
        <v>32</v>
      </c>
      <c r="C164" s="4"/>
      <c r="D164" s="81"/>
      <c r="E164" s="8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8.75" x14ac:dyDescent="0.2">
      <c r="A165" s="16" t="s">
        <v>275</v>
      </c>
      <c r="B165" s="4" t="s">
        <v>32</v>
      </c>
      <c r="C165" s="4"/>
      <c r="D165" s="81"/>
      <c r="E165" s="8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37.5" x14ac:dyDescent="0.2">
      <c r="A166" s="16" t="s">
        <v>280</v>
      </c>
      <c r="B166" s="4" t="s">
        <v>32</v>
      </c>
      <c r="C166" s="4"/>
      <c r="D166" s="81"/>
      <c r="E166" s="8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8.75" x14ac:dyDescent="0.2">
      <c r="A167" s="16" t="s">
        <v>281</v>
      </c>
      <c r="B167" s="4" t="s">
        <v>32</v>
      </c>
      <c r="C167" s="4"/>
      <c r="D167" s="81"/>
      <c r="E167" s="8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37.5" x14ac:dyDescent="0.2">
      <c r="A168" s="16" t="s">
        <v>279</v>
      </c>
      <c r="B168" s="4" t="s">
        <v>32</v>
      </c>
      <c r="C168" s="4"/>
      <c r="D168" s="81"/>
      <c r="E168" s="8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56.25" x14ac:dyDescent="0.2">
      <c r="A169" s="16" t="s">
        <v>287</v>
      </c>
      <c r="B169" s="4" t="s">
        <v>32</v>
      </c>
      <c r="C169" s="4"/>
      <c r="D169" s="81"/>
      <c r="E169" s="8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ht="18.75" x14ac:dyDescent="0.2">
      <c r="A170" s="16" t="s">
        <v>282</v>
      </c>
      <c r="B170" s="4" t="s">
        <v>34</v>
      </c>
      <c r="C170" s="4"/>
      <c r="D170" s="81"/>
      <c r="E170" s="8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8.75" x14ac:dyDescent="0.2">
      <c r="A171" s="16" t="s">
        <v>283</v>
      </c>
      <c r="B171" s="4" t="s">
        <v>25</v>
      </c>
      <c r="C171" s="4"/>
      <c r="D171" s="81"/>
      <c r="E171" s="8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8.75" x14ac:dyDescent="0.2">
      <c r="A172" s="16" t="s">
        <v>35</v>
      </c>
      <c r="B172" s="4" t="s">
        <v>36</v>
      </c>
      <c r="C172" s="4"/>
      <c r="D172" s="81"/>
      <c r="E172" s="8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75.599999999999994" customHeight="1" x14ac:dyDescent="0.2">
      <c r="A173" s="37" t="s">
        <v>292</v>
      </c>
      <c r="B173" s="4" t="s">
        <v>26</v>
      </c>
      <c r="C173" s="4"/>
      <c r="D173" s="81"/>
      <c r="E173" s="8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8.75" x14ac:dyDescent="0.2">
      <c r="A174" s="16" t="s">
        <v>37</v>
      </c>
      <c r="B174" s="4" t="s">
        <v>21</v>
      </c>
      <c r="C174" s="4"/>
      <c r="D174" s="81"/>
      <c r="E174" s="8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8.75" x14ac:dyDescent="0.2">
      <c r="A175" s="16" t="s">
        <v>38</v>
      </c>
      <c r="B175" s="4" t="s">
        <v>28</v>
      </c>
      <c r="C175" s="4"/>
      <c r="D175" s="81"/>
      <c r="E175" s="8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8.75" x14ac:dyDescent="0.2">
      <c r="A176" s="16" t="s">
        <v>39</v>
      </c>
      <c r="B176" s="4" t="s">
        <v>28</v>
      </c>
      <c r="C176" s="4"/>
      <c r="D176" s="81"/>
      <c r="E176" s="8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8.75" x14ac:dyDescent="0.2">
      <c r="A177" s="16" t="s">
        <v>40</v>
      </c>
      <c r="B177" s="4" t="s">
        <v>21</v>
      </c>
      <c r="C177" s="4"/>
      <c r="D177" s="81"/>
      <c r="E177" s="8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8.75" x14ac:dyDescent="0.2">
      <c r="A178" s="16" t="s">
        <v>41</v>
      </c>
      <c r="B178" s="4" t="s">
        <v>28</v>
      </c>
      <c r="C178" s="4"/>
      <c r="D178" s="81"/>
      <c r="E178" s="8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43.5" customHeight="1" x14ac:dyDescent="0.2">
      <c r="A179" s="37" t="s">
        <v>289</v>
      </c>
      <c r="B179" s="4" t="s">
        <v>42</v>
      </c>
      <c r="C179" s="4"/>
      <c r="D179" s="81"/>
      <c r="E179" s="8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8.75" x14ac:dyDescent="0.2">
      <c r="A180" s="16" t="s">
        <v>43</v>
      </c>
      <c r="B180" s="4" t="s">
        <v>44</v>
      </c>
      <c r="C180" s="4"/>
      <c r="D180" s="81"/>
      <c r="E180" s="8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36" customHeight="1" x14ac:dyDescent="0.2">
      <c r="A181" s="37" t="s">
        <v>290</v>
      </c>
      <c r="B181" s="4" t="s">
        <v>21</v>
      </c>
      <c r="C181" s="4"/>
      <c r="D181" s="81"/>
      <c r="E181" s="8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56.25" x14ac:dyDescent="0.2">
      <c r="A182" s="17" t="s">
        <v>45</v>
      </c>
      <c r="B182" s="4" t="s">
        <v>46</v>
      </c>
      <c r="C182" s="4"/>
      <c r="D182" s="81"/>
      <c r="E182" s="8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8.75" x14ac:dyDescent="0.2">
      <c r="A183" s="16" t="s">
        <v>291</v>
      </c>
      <c r="B183" s="4" t="s">
        <v>28</v>
      </c>
      <c r="C183" s="4"/>
      <c r="D183" s="81"/>
      <c r="E183" s="8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8.75" x14ac:dyDescent="0.2">
      <c r="A184" s="17" t="s">
        <v>284</v>
      </c>
      <c r="B184" s="4" t="s">
        <v>20</v>
      </c>
      <c r="C184" s="4"/>
      <c r="D184" s="81"/>
      <c r="E184" s="8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75" x14ac:dyDescent="0.2">
      <c r="A185" s="17" t="s">
        <v>285</v>
      </c>
      <c r="B185" s="4" t="s">
        <v>47</v>
      </c>
      <c r="C185" s="4"/>
      <c r="D185" s="81"/>
      <c r="E185" s="8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8.75" x14ac:dyDescent="0.2">
      <c r="A186" s="16" t="s">
        <v>48</v>
      </c>
      <c r="B186" s="4" t="s">
        <v>47</v>
      </c>
      <c r="C186" s="4"/>
      <c r="D186" s="81"/>
      <c r="E186" s="8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8.75" x14ac:dyDescent="0.2">
      <c r="A187" s="16" t="s">
        <v>286</v>
      </c>
      <c r="B187" s="4" t="s">
        <v>49</v>
      </c>
      <c r="C187" s="4"/>
      <c r="D187" s="81"/>
      <c r="E187" s="8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8.75" x14ac:dyDescent="0.2">
      <c r="A188" s="16" t="s">
        <v>50</v>
      </c>
      <c r="B188" s="4" t="s">
        <v>47</v>
      </c>
      <c r="C188" s="4"/>
      <c r="D188" s="81"/>
      <c r="E188" s="8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8.75" x14ac:dyDescent="0.2">
      <c r="A189" s="16" t="s">
        <v>51</v>
      </c>
      <c r="B189" s="4" t="s">
        <v>47</v>
      </c>
      <c r="C189" s="4"/>
      <c r="D189" s="81"/>
      <c r="E189" s="8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8.75" x14ac:dyDescent="0.2">
      <c r="A190" s="16" t="s">
        <v>52</v>
      </c>
      <c r="B190" s="4" t="s">
        <v>53</v>
      </c>
      <c r="C190" s="4"/>
      <c r="D190" s="81"/>
      <c r="E190" s="8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8.75" x14ac:dyDescent="0.2">
      <c r="A191" s="16" t="s">
        <v>54</v>
      </c>
      <c r="B191" s="4"/>
      <c r="C191" s="4"/>
      <c r="D191" s="81"/>
      <c r="E191" s="8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8.75" x14ac:dyDescent="0.2">
      <c r="A192" s="16" t="s">
        <v>55</v>
      </c>
      <c r="B192" s="4" t="s">
        <v>53</v>
      </c>
      <c r="C192" s="4"/>
      <c r="D192" s="81"/>
      <c r="E192" s="8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8.75" x14ac:dyDescent="0.2">
      <c r="A193" s="16" t="s">
        <v>56</v>
      </c>
      <c r="B193" s="4" t="s">
        <v>53</v>
      </c>
      <c r="C193" s="4"/>
      <c r="D193" s="81"/>
      <c r="E193" s="8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8.75" x14ac:dyDescent="0.2">
      <c r="A194" s="16" t="s">
        <v>57</v>
      </c>
      <c r="B194" s="4" t="s">
        <v>53</v>
      </c>
      <c r="C194" s="4"/>
      <c r="D194" s="81"/>
      <c r="E194" s="8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8.75" x14ac:dyDescent="0.2">
      <c r="A195" s="10" t="s">
        <v>318</v>
      </c>
      <c r="B195" s="4"/>
      <c r="C195" s="8"/>
      <c r="D195" s="66"/>
      <c r="E195" s="6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spans="1:16" ht="75" x14ac:dyDescent="0.2">
      <c r="A196" s="16" t="s">
        <v>58</v>
      </c>
      <c r="B196" s="6" t="s">
        <v>60</v>
      </c>
      <c r="C196" s="5">
        <v>0</v>
      </c>
      <c r="D196" s="70"/>
      <c r="E196" s="6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spans="1:16" ht="93.75" x14ac:dyDescent="0.2">
      <c r="A197" s="16" t="s">
        <v>61</v>
      </c>
      <c r="B197" s="4" t="s">
        <v>62</v>
      </c>
      <c r="C197" s="5"/>
      <c r="D197" s="70"/>
      <c r="E197" s="70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</row>
    <row r="198" spans="1:16" ht="56.25" x14ac:dyDescent="0.2">
      <c r="A198" s="16" t="s">
        <v>63</v>
      </c>
      <c r="B198" s="4" t="s">
        <v>139</v>
      </c>
      <c r="C198" s="5"/>
      <c r="D198" s="70"/>
      <c r="E198" s="6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spans="1:16" ht="56.25" x14ac:dyDescent="0.2">
      <c r="A199" s="17" t="s">
        <v>64</v>
      </c>
      <c r="B199" s="6" t="s">
        <v>65</v>
      </c>
      <c r="C199" s="5">
        <v>45.22</v>
      </c>
      <c r="D199" s="70">
        <v>45.56</v>
      </c>
      <c r="E199" s="63">
        <v>78.123000000000005</v>
      </c>
      <c r="F199" s="21">
        <v>58.98</v>
      </c>
      <c r="G199" s="21">
        <v>83.39</v>
      </c>
      <c r="H199" s="21">
        <v>85</v>
      </c>
      <c r="I199" s="21">
        <v>85</v>
      </c>
      <c r="J199" s="21">
        <v>86</v>
      </c>
      <c r="K199" s="21"/>
      <c r="L199" s="21">
        <v>85</v>
      </c>
      <c r="M199" s="21">
        <v>86</v>
      </c>
      <c r="N199" s="21"/>
      <c r="O199" s="21">
        <v>85</v>
      </c>
      <c r="P199" s="21">
        <v>86</v>
      </c>
    </row>
    <row r="200" spans="1:16" ht="37.5" x14ac:dyDescent="0.2">
      <c r="A200" s="17" t="s">
        <v>66</v>
      </c>
      <c r="B200" s="6" t="s">
        <v>67</v>
      </c>
      <c r="C200" s="5">
        <v>100</v>
      </c>
      <c r="D200" s="70">
        <v>100</v>
      </c>
      <c r="E200" s="66">
        <v>100</v>
      </c>
      <c r="F200" s="5">
        <v>100</v>
      </c>
      <c r="G200" s="5">
        <v>100</v>
      </c>
      <c r="H200" s="5">
        <v>100</v>
      </c>
      <c r="I200" s="5">
        <v>100</v>
      </c>
      <c r="J200" s="5">
        <v>100</v>
      </c>
      <c r="K200" s="5"/>
      <c r="L200" s="5">
        <v>100</v>
      </c>
      <c r="M200" s="5">
        <v>100</v>
      </c>
      <c r="N200" s="5"/>
      <c r="O200" s="5">
        <v>100</v>
      </c>
      <c r="P200" s="5">
        <v>100</v>
      </c>
    </row>
    <row r="201" spans="1:16" ht="18.75" x14ac:dyDescent="0.2">
      <c r="A201" s="10" t="s">
        <v>68</v>
      </c>
      <c r="B201" s="4"/>
      <c r="C201" s="5"/>
      <c r="D201" s="66"/>
      <c r="E201" s="6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spans="1:16" ht="120.75" customHeight="1" x14ac:dyDescent="0.2">
      <c r="A202" s="16" t="s">
        <v>69</v>
      </c>
      <c r="B202" s="4" t="s">
        <v>70</v>
      </c>
      <c r="C202" s="5">
        <v>105.9</v>
      </c>
      <c r="D202" s="66">
        <v>103.2</v>
      </c>
      <c r="E202" s="65">
        <v>106.4</v>
      </c>
      <c r="F202" s="29">
        <v>119.6</v>
      </c>
      <c r="G202" s="29">
        <v>105.2</v>
      </c>
      <c r="H202" s="29">
        <v>106.8</v>
      </c>
      <c r="I202" s="29">
        <v>105.1</v>
      </c>
      <c r="J202" s="29">
        <v>104.6</v>
      </c>
      <c r="K202" s="29"/>
      <c r="L202" s="29">
        <v>104.1</v>
      </c>
      <c r="M202" s="29">
        <v>104</v>
      </c>
      <c r="N202" s="29"/>
      <c r="O202" s="29">
        <v>104</v>
      </c>
      <c r="P202" s="29">
        <v>103.9</v>
      </c>
    </row>
    <row r="203" spans="1:16" ht="75" x14ac:dyDescent="0.2">
      <c r="A203" s="12" t="s">
        <v>71</v>
      </c>
      <c r="B203" s="7" t="s">
        <v>60</v>
      </c>
      <c r="C203" s="41">
        <v>3006</v>
      </c>
      <c r="D203" s="64">
        <v>3089.1</v>
      </c>
      <c r="E203" s="64">
        <v>3404.4</v>
      </c>
      <c r="F203" s="43">
        <v>3499.6</v>
      </c>
      <c r="G203" s="43">
        <v>3952.2</v>
      </c>
      <c r="H203" s="43">
        <v>4428.8999999999996</v>
      </c>
      <c r="I203" s="44">
        <f>H203*I204*I205/10000</f>
        <v>4892.0965065</v>
      </c>
      <c r="J203" s="43">
        <v>4901.2</v>
      </c>
      <c r="K203" s="43"/>
      <c r="L203" s="44">
        <f>I203*L204*L205/10000</f>
        <v>5602.2234511905272</v>
      </c>
      <c r="M203" s="43">
        <v>5620</v>
      </c>
      <c r="N203" s="43"/>
      <c r="O203" s="44">
        <f>L203*O204*O205/10000</f>
        <v>5977.7124780065715</v>
      </c>
      <c r="P203" s="43">
        <v>6000</v>
      </c>
    </row>
    <row r="204" spans="1:16" ht="99.75" customHeight="1" x14ac:dyDescent="0.2">
      <c r="A204" s="17" t="s">
        <v>329</v>
      </c>
      <c r="B204" s="7" t="s">
        <v>62</v>
      </c>
      <c r="C204" s="29">
        <f>C203/2768.7/C205*10000</f>
        <v>102.91071981529478</v>
      </c>
      <c r="D204" s="65">
        <f>D203/C203/D205*10000</f>
        <v>100.55232001749924</v>
      </c>
      <c r="E204" s="65">
        <f>E203/D203/E205*10000</f>
        <v>103.77293443119758</v>
      </c>
      <c r="F204" s="29">
        <f>F203/E203/F205*10000</f>
        <v>85.806662064942373</v>
      </c>
      <c r="G204" s="29">
        <f>G203/F203/G205*10000</f>
        <v>108.58933328644153</v>
      </c>
      <c r="H204" s="29">
        <f>H203/F203/H205*10000</f>
        <v>118.27519940863736</v>
      </c>
      <c r="I204" s="5">
        <v>105.5</v>
      </c>
      <c r="J204" s="29">
        <f>J203/H203/J205*10000</f>
        <v>106.10167546131618</v>
      </c>
      <c r="K204" s="5"/>
      <c r="L204" s="5">
        <v>109.9</v>
      </c>
      <c r="M204" s="29">
        <f>M203/J203/M205*10000</f>
        <v>110.04395022222613</v>
      </c>
      <c r="N204" s="5"/>
      <c r="O204" s="5">
        <v>102.5</v>
      </c>
      <c r="P204" s="29">
        <f>P203/M203/P205*10000</f>
        <v>102.5567395161373</v>
      </c>
    </row>
    <row r="205" spans="1:16" ht="61.5" customHeight="1" x14ac:dyDescent="0.2">
      <c r="A205" s="16" t="s">
        <v>72</v>
      </c>
      <c r="B205" s="4" t="s">
        <v>139</v>
      </c>
      <c r="C205" s="5">
        <v>105.5</v>
      </c>
      <c r="D205" s="66">
        <v>102.2</v>
      </c>
      <c r="E205" s="65">
        <v>106.2</v>
      </c>
      <c r="F205" s="29">
        <v>119.8</v>
      </c>
      <c r="G205" s="29">
        <v>104</v>
      </c>
      <c r="H205" s="29">
        <v>107</v>
      </c>
      <c r="I205" s="29">
        <v>104.7</v>
      </c>
      <c r="J205" s="29">
        <v>104.3</v>
      </c>
      <c r="K205" s="29"/>
      <c r="L205" s="29">
        <v>104.2</v>
      </c>
      <c r="M205" s="29">
        <v>104.2</v>
      </c>
      <c r="N205" s="29"/>
      <c r="O205" s="29">
        <v>104.1</v>
      </c>
      <c r="P205" s="29">
        <v>104.1</v>
      </c>
    </row>
    <row r="206" spans="1:16" ht="18.75" x14ac:dyDescent="0.2">
      <c r="A206" s="10" t="s">
        <v>73</v>
      </c>
      <c r="B206" s="4" t="s">
        <v>151</v>
      </c>
      <c r="C206" s="5"/>
      <c r="D206" s="66">
        <v>1.1705000000000001</v>
      </c>
      <c r="E206" s="64">
        <v>0.87319999999999998</v>
      </c>
      <c r="F206" s="43">
        <v>2.8</v>
      </c>
      <c r="G206" s="43">
        <v>3.7</v>
      </c>
      <c r="H206" s="43">
        <v>4.5</v>
      </c>
      <c r="I206" s="44">
        <f>H206*I207*I208/10000</f>
        <v>5.4276479999999996</v>
      </c>
      <c r="J206" s="43">
        <v>5.5</v>
      </c>
      <c r="K206" s="43"/>
      <c r="L206" s="44">
        <f>I206*L207*L208/10000</f>
        <v>6.16407128064</v>
      </c>
      <c r="M206" s="43">
        <v>6.3</v>
      </c>
      <c r="N206" s="43"/>
      <c r="O206" s="44">
        <f>L206*O207*O208/10000</f>
        <v>7.0388762767884296</v>
      </c>
      <c r="P206" s="43">
        <v>7.2</v>
      </c>
    </row>
    <row r="207" spans="1:16" ht="93.75" x14ac:dyDescent="0.2">
      <c r="A207" s="16" t="s">
        <v>73</v>
      </c>
      <c r="B207" s="4" t="s">
        <v>62</v>
      </c>
      <c r="C207" s="5"/>
      <c r="D207" s="66"/>
      <c r="E207" s="66">
        <f>E206/D206/E208*10000</f>
        <v>69.010728987074714</v>
      </c>
      <c r="F207" s="5">
        <f>F206/E206/F208*10000</f>
        <v>271.97594800130702</v>
      </c>
      <c r="G207" s="5">
        <f>G206/F206/G208*10000</f>
        <v>126.69497329132997</v>
      </c>
      <c r="H207" s="5">
        <f>H206/G206/H208*10000</f>
        <v>113.87792286668692</v>
      </c>
      <c r="I207" s="5">
        <v>115.2</v>
      </c>
      <c r="J207" s="29">
        <f>J206/H206/J208*10000</f>
        <v>117.18333865984873</v>
      </c>
      <c r="K207" s="5"/>
      <c r="L207" s="5">
        <v>109.2</v>
      </c>
      <c r="M207" s="29">
        <f>M206/J206/M208*10000</f>
        <v>110.13986013986013</v>
      </c>
      <c r="N207" s="5"/>
      <c r="O207" s="5">
        <v>109.8</v>
      </c>
      <c r="P207" s="29">
        <f>P206/M206/P208*10000</f>
        <v>109.8901098901099</v>
      </c>
    </row>
    <row r="208" spans="1:16" ht="112.5" x14ac:dyDescent="0.2">
      <c r="A208" s="16" t="s">
        <v>156</v>
      </c>
      <c r="B208" s="4" t="s">
        <v>70</v>
      </c>
      <c r="C208" s="5"/>
      <c r="D208" s="66"/>
      <c r="E208" s="66">
        <v>108.1</v>
      </c>
      <c r="F208" s="5">
        <v>117.9</v>
      </c>
      <c r="G208" s="5">
        <v>104.3</v>
      </c>
      <c r="H208" s="5">
        <v>106.8</v>
      </c>
      <c r="I208" s="5">
        <v>104.7</v>
      </c>
      <c r="J208" s="5">
        <v>104.3</v>
      </c>
      <c r="K208" s="5"/>
      <c r="L208" s="5">
        <v>104</v>
      </c>
      <c r="M208" s="5">
        <v>104</v>
      </c>
      <c r="N208" s="5"/>
      <c r="O208" s="5">
        <v>104</v>
      </c>
      <c r="P208" s="21">
        <v>104</v>
      </c>
    </row>
    <row r="209" spans="1:20" ht="18.75" x14ac:dyDescent="0.2">
      <c r="A209" s="12" t="s">
        <v>74</v>
      </c>
      <c r="B209" s="7" t="s">
        <v>8</v>
      </c>
      <c r="C209" s="49">
        <v>308</v>
      </c>
      <c r="D209" s="82">
        <v>346.8</v>
      </c>
      <c r="E209" s="82">
        <v>482</v>
      </c>
      <c r="F209" s="131">
        <v>539.1</v>
      </c>
      <c r="G209" s="131">
        <v>450.4</v>
      </c>
      <c r="H209" s="131">
        <v>500.1</v>
      </c>
      <c r="I209" s="132">
        <f>H209*I210*I211/10000</f>
        <v>552.28293450000001</v>
      </c>
      <c r="J209" s="131">
        <v>550.70000000000005</v>
      </c>
      <c r="K209" s="131"/>
      <c r="L209" s="132">
        <f>I209*L210*L211/10000</f>
        <v>594.44973654907506</v>
      </c>
      <c r="M209" s="131">
        <v>595</v>
      </c>
      <c r="N209" s="131"/>
      <c r="O209" s="132">
        <f>L209*O210*O211/10000</f>
        <v>649.14862350737474</v>
      </c>
      <c r="P209" s="133">
        <v>650.5</v>
      </c>
    </row>
    <row r="210" spans="1:20" ht="93.75" x14ac:dyDescent="0.2">
      <c r="A210" s="17" t="s">
        <v>330</v>
      </c>
      <c r="B210" s="4" t="s">
        <v>62</v>
      </c>
      <c r="C210" s="29">
        <f>C209/289.6/C211*10000</f>
        <v>101.19276038080018</v>
      </c>
      <c r="D210" s="65">
        <f>D209/C209/D211*10000</f>
        <v>108.68475154189441</v>
      </c>
      <c r="E210" s="65">
        <f>E209/D209/E211*10000</f>
        <v>134.02604220541244</v>
      </c>
      <c r="F210" s="29">
        <f>F209/E209/F211*10000</f>
        <v>99.419087136929463</v>
      </c>
      <c r="G210" s="29">
        <f>G209/F209/G211*10000</f>
        <v>76.089846837084949</v>
      </c>
      <c r="H210" s="29">
        <f>H209/F209/H211*10000</f>
        <v>84.794991449287295</v>
      </c>
      <c r="I210" s="29">
        <v>103.5</v>
      </c>
      <c r="J210" s="29">
        <f>J209/H209/J211*10000</f>
        <v>103.59169934592573</v>
      </c>
      <c r="K210" s="29"/>
      <c r="L210" s="29">
        <v>103</v>
      </c>
      <c r="M210" s="29">
        <f>M209/J209/M211*10000</f>
        <v>103.39168157447284</v>
      </c>
      <c r="N210" s="29"/>
      <c r="O210" s="29">
        <v>104.8</v>
      </c>
      <c r="P210" s="29">
        <f>P209/M209/P211*10000</f>
        <v>104.92104711366312</v>
      </c>
    </row>
    <row r="211" spans="1:20" ht="38.25" customHeight="1" x14ac:dyDescent="0.2">
      <c r="A211" s="16" t="s">
        <v>75</v>
      </c>
      <c r="B211" s="4" t="s">
        <v>139</v>
      </c>
      <c r="C211" s="5">
        <v>105.1</v>
      </c>
      <c r="D211" s="66">
        <v>103.6</v>
      </c>
      <c r="E211" s="65">
        <v>103.7</v>
      </c>
      <c r="F211" s="29">
        <v>112.5</v>
      </c>
      <c r="G211" s="29">
        <v>109.8</v>
      </c>
      <c r="H211" s="29">
        <v>109.4</v>
      </c>
      <c r="I211" s="29">
        <v>106.7</v>
      </c>
      <c r="J211" s="29">
        <v>106.3</v>
      </c>
      <c r="K211" s="29"/>
      <c r="L211" s="29">
        <v>104.5</v>
      </c>
      <c r="M211" s="29">
        <v>104.5</v>
      </c>
      <c r="N211" s="29"/>
      <c r="O211" s="29">
        <v>104.2</v>
      </c>
      <c r="P211" s="29">
        <v>104.2</v>
      </c>
    </row>
    <row r="212" spans="1:20" ht="37.5" x14ac:dyDescent="0.2">
      <c r="A212" s="10" t="s">
        <v>297</v>
      </c>
      <c r="B212" s="4"/>
      <c r="C212" s="5"/>
      <c r="D212" s="66"/>
      <c r="E212" s="6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21"/>
    </row>
    <row r="213" spans="1:20" ht="40.5" customHeight="1" x14ac:dyDescent="0.2">
      <c r="A213" s="16" t="s">
        <v>157</v>
      </c>
      <c r="B213" s="4" t="s">
        <v>76</v>
      </c>
      <c r="C213" s="50">
        <v>152</v>
      </c>
      <c r="D213" s="83">
        <v>155</v>
      </c>
      <c r="E213" s="83">
        <v>148</v>
      </c>
      <c r="F213" s="134">
        <v>163</v>
      </c>
      <c r="G213" s="134">
        <v>171</v>
      </c>
      <c r="H213" s="134">
        <v>168</v>
      </c>
      <c r="I213" s="134">
        <v>168</v>
      </c>
      <c r="J213" s="134">
        <v>169</v>
      </c>
      <c r="K213" s="134"/>
      <c r="L213" s="134">
        <v>169</v>
      </c>
      <c r="M213" s="134">
        <v>170</v>
      </c>
      <c r="N213" s="134"/>
      <c r="O213" s="134">
        <v>170</v>
      </c>
      <c r="P213" s="134">
        <v>170</v>
      </c>
    </row>
    <row r="214" spans="1:20" ht="56.25" x14ac:dyDescent="0.2">
      <c r="A214" s="16" t="s">
        <v>159</v>
      </c>
      <c r="B214" s="6" t="s">
        <v>77</v>
      </c>
      <c r="C214" s="51"/>
      <c r="D214" s="84"/>
      <c r="E214" s="84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</row>
    <row r="215" spans="1:20" ht="37.5" x14ac:dyDescent="0.2">
      <c r="A215" s="16" t="s">
        <v>158</v>
      </c>
      <c r="B215" s="4" t="s">
        <v>78</v>
      </c>
      <c r="C215" s="51"/>
      <c r="D215" s="85"/>
      <c r="E215" s="8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20" ht="18.75" x14ac:dyDescent="0.2">
      <c r="A216" s="10" t="s">
        <v>298</v>
      </c>
      <c r="B216" s="4"/>
      <c r="C216" s="5"/>
      <c r="D216" s="66"/>
      <c r="E216" s="6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spans="1:20" ht="79.5" customHeight="1" x14ac:dyDescent="0.2">
      <c r="A217" s="17" t="s">
        <v>79</v>
      </c>
      <c r="B217" s="4" t="s">
        <v>60</v>
      </c>
      <c r="C217" s="5"/>
      <c r="D217" s="66"/>
      <c r="E217" s="6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spans="1:20" ht="47.25" customHeight="1" x14ac:dyDescent="0.2">
      <c r="A218" s="17" t="s">
        <v>80</v>
      </c>
      <c r="B218" s="4" t="s">
        <v>62</v>
      </c>
      <c r="C218" s="5"/>
      <c r="D218" s="66"/>
      <c r="E218" s="6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</row>
    <row r="219" spans="1:20" ht="29.25" customHeight="1" x14ac:dyDescent="0.2">
      <c r="A219" s="16" t="s">
        <v>321</v>
      </c>
      <c r="B219" s="4" t="s">
        <v>139</v>
      </c>
      <c r="C219" s="5"/>
      <c r="D219" s="66"/>
      <c r="E219" s="63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1:20" ht="93.75" x14ac:dyDescent="0.2">
      <c r="A220" s="10" t="s">
        <v>81</v>
      </c>
      <c r="B220" s="4" t="s">
        <v>151</v>
      </c>
      <c r="C220" s="39">
        <v>347.1</v>
      </c>
      <c r="D220" s="66">
        <f>D223</f>
        <v>541.90000000000009</v>
      </c>
      <c r="E220" s="67">
        <v>1408.7</v>
      </c>
      <c r="F220" s="44">
        <f>F223</f>
        <v>809.27499999999998</v>
      </c>
      <c r="G220" s="43">
        <f>G223</f>
        <v>828.2</v>
      </c>
      <c r="H220" s="43">
        <f>H223</f>
        <v>819.2</v>
      </c>
      <c r="I220" s="43">
        <f t="shared" ref="I220:O220" si="11">I223</f>
        <v>587.46</v>
      </c>
      <c r="J220" s="43">
        <f t="shared" si="11"/>
        <v>588.36</v>
      </c>
      <c r="K220" s="43">
        <f t="shared" si="11"/>
        <v>0</v>
      </c>
      <c r="L220" s="43">
        <f>L223</f>
        <v>595.54999999999995</v>
      </c>
      <c r="M220" s="43">
        <f t="shared" si="11"/>
        <v>596.25</v>
      </c>
      <c r="N220" s="43">
        <f t="shared" si="11"/>
        <v>0</v>
      </c>
      <c r="O220" s="43">
        <f t="shared" si="11"/>
        <v>606.9</v>
      </c>
      <c r="P220" s="43">
        <f>P223</f>
        <v>607.9</v>
      </c>
    </row>
    <row r="221" spans="1:20" ht="93.75" x14ac:dyDescent="0.2">
      <c r="A221" s="16" t="s">
        <v>82</v>
      </c>
      <c r="B221" s="4" t="s">
        <v>62</v>
      </c>
      <c r="C221" s="29">
        <f>C220/360.5/C222*10000</f>
        <v>90.74735189501439</v>
      </c>
      <c r="D221" s="65">
        <f t="shared" ref="D221:F221" si="12">D220/C220/D222*10000</f>
        <v>147.28505188543349</v>
      </c>
      <c r="E221" s="65">
        <f t="shared" si="12"/>
        <v>245.24123715647596</v>
      </c>
      <c r="F221" s="29">
        <f t="shared" si="12"/>
        <v>51.523189812443555</v>
      </c>
      <c r="G221" s="29">
        <f>G220/F220/G222*10000</f>
        <v>96.728273030675382</v>
      </c>
      <c r="H221" s="29">
        <f>H220/G220/H222*10000</f>
        <v>90.746152261231941</v>
      </c>
      <c r="I221" s="29">
        <f>I220/H220/I222*10000</f>
        <v>66.770415066340789</v>
      </c>
      <c r="J221" s="29">
        <f>J220/H220/J222*10000</f>
        <v>66.935031745107182</v>
      </c>
      <c r="K221" s="29"/>
      <c r="L221" s="29">
        <f>L220/I220/L222*10000</f>
        <v>96.549633369161498</v>
      </c>
      <c r="M221" s="29">
        <f>M220/J220/M222*10000</f>
        <v>96.240280821149668</v>
      </c>
      <c r="N221" s="29"/>
      <c r="O221" s="29">
        <f>O220/L220/O222*10000</f>
        <v>97.704507536037696</v>
      </c>
      <c r="P221" s="29">
        <f>P220/M220/P222*10000</f>
        <v>97.656971653935429</v>
      </c>
    </row>
    <row r="222" spans="1:20" ht="56.25" x14ac:dyDescent="0.2">
      <c r="A222" s="16" t="s">
        <v>321</v>
      </c>
      <c r="B222" s="4" t="s">
        <v>139</v>
      </c>
      <c r="C222" s="5">
        <v>106.1</v>
      </c>
      <c r="D222" s="66">
        <v>106</v>
      </c>
      <c r="E222" s="63">
        <v>106</v>
      </c>
      <c r="F222" s="21">
        <v>111.5</v>
      </c>
      <c r="G222" s="21">
        <v>105.8</v>
      </c>
      <c r="H222" s="21">
        <v>109</v>
      </c>
      <c r="I222" s="21">
        <v>107.4</v>
      </c>
      <c r="J222" s="21">
        <v>107.3</v>
      </c>
      <c r="K222" s="21"/>
      <c r="L222" s="21">
        <v>105</v>
      </c>
      <c r="M222" s="21">
        <v>105.3</v>
      </c>
      <c r="N222" s="21"/>
      <c r="O222" s="21">
        <v>104.3</v>
      </c>
      <c r="P222" s="21">
        <v>104.4</v>
      </c>
    </row>
    <row r="223" spans="1:20" ht="93.75" customHeight="1" x14ac:dyDescent="0.2">
      <c r="A223" s="12" t="s">
        <v>83</v>
      </c>
      <c r="B223" s="4"/>
      <c r="C223" s="43">
        <f>C224+C225</f>
        <v>347.1</v>
      </c>
      <c r="D223" s="64">
        <f t="shared" ref="D223" si="13">D224+D225</f>
        <v>541.90000000000009</v>
      </c>
      <c r="E223" s="67">
        <f>E224+E225</f>
        <v>1408.7</v>
      </c>
      <c r="F223" s="44">
        <f>F224+F225</f>
        <v>809.27499999999998</v>
      </c>
      <c r="G223" s="44">
        <f>G224+G225</f>
        <v>828.2</v>
      </c>
      <c r="H223" s="44">
        <f>H224+H225</f>
        <v>819.2</v>
      </c>
      <c r="I223" s="44">
        <f t="shared" ref="I223" si="14">I224+I225</f>
        <v>587.46</v>
      </c>
      <c r="J223" s="44">
        <f t="shared" ref="J223:P223" si="15">J224+J225</f>
        <v>588.36</v>
      </c>
      <c r="K223" s="44">
        <f t="shared" si="15"/>
        <v>0</v>
      </c>
      <c r="L223" s="44">
        <f>L224+L225</f>
        <v>595.54999999999995</v>
      </c>
      <c r="M223" s="44">
        <f>M224+M225</f>
        <v>596.25</v>
      </c>
      <c r="N223" s="44">
        <f t="shared" si="15"/>
        <v>0</v>
      </c>
      <c r="O223" s="44">
        <f t="shared" ref="O223" si="16">O224+O225</f>
        <v>606.9</v>
      </c>
      <c r="P223" s="44">
        <f t="shared" si="15"/>
        <v>607.9</v>
      </c>
      <c r="T223" s="102"/>
    </row>
    <row r="224" spans="1:20" ht="18.75" x14ac:dyDescent="0.2">
      <c r="A224" s="17" t="s">
        <v>84</v>
      </c>
      <c r="B224" s="4" t="s">
        <v>85</v>
      </c>
      <c r="C224" s="5">
        <v>169.4</v>
      </c>
      <c r="D224" s="66">
        <v>168.8</v>
      </c>
      <c r="E224" s="65">
        <v>966.9</v>
      </c>
      <c r="F224" s="29">
        <v>126.812</v>
      </c>
      <c r="G224" s="29">
        <v>318.2</v>
      </c>
      <c r="H224" s="29">
        <f>H229</f>
        <v>491.2</v>
      </c>
      <c r="I224" s="29">
        <f t="shared" ref="I224" si="17">I229</f>
        <v>263.36</v>
      </c>
      <c r="J224" s="29">
        <f t="shared" ref="J224:P224" si="18">J229</f>
        <v>263.36</v>
      </c>
      <c r="K224" s="29">
        <f t="shared" si="18"/>
        <v>0</v>
      </c>
      <c r="L224" s="29">
        <f t="shared" ref="L224" si="19">L229</f>
        <v>41.25</v>
      </c>
      <c r="M224" s="29">
        <f t="shared" si="18"/>
        <v>41.25</v>
      </c>
      <c r="N224" s="29">
        <f t="shared" si="18"/>
        <v>0</v>
      </c>
      <c r="O224" s="29">
        <f t="shared" ref="O224" si="20">O229</f>
        <v>42.900000000000006</v>
      </c>
      <c r="P224" s="29">
        <f t="shared" si="18"/>
        <v>42.900000000000006</v>
      </c>
    </row>
    <row r="225" spans="1:19" ht="18.75" x14ac:dyDescent="0.2">
      <c r="A225" s="17" t="s">
        <v>312</v>
      </c>
      <c r="B225" s="4" t="s">
        <v>85</v>
      </c>
      <c r="C225" s="5">
        <v>177.7</v>
      </c>
      <c r="D225" s="66">
        <v>373.1</v>
      </c>
      <c r="E225" s="65">
        <v>441.8</v>
      </c>
      <c r="F225" s="29">
        <v>682.46299999999997</v>
      </c>
      <c r="G225" s="29">
        <v>510</v>
      </c>
      <c r="H225" s="29">
        <v>328</v>
      </c>
      <c r="I225" s="29">
        <v>324.10000000000002</v>
      </c>
      <c r="J225" s="29">
        <v>325</v>
      </c>
      <c r="K225" s="29"/>
      <c r="L225" s="29">
        <v>554.29999999999995</v>
      </c>
      <c r="M225" s="29">
        <v>555</v>
      </c>
      <c r="N225" s="29"/>
      <c r="O225" s="29">
        <v>564</v>
      </c>
      <c r="P225" s="29">
        <v>565</v>
      </c>
    </row>
    <row r="226" spans="1:19" ht="18.75" x14ac:dyDescent="0.2">
      <c r="A226" s="16" t="s">
        <v>313</v>
      </c>
      <c r="B226" s="4" t="s">
        <v>85</v>
      </c>
      <c r="C226" s="4"/>
      <c r="D226" s="81" t="s">
        <v>92</v>
      </c>
      <c r="E226" s="116"/>
      <c r="F226" s="4"/>
      <c r="G226" s="136"/>
      <c r="H226" s="136"/>
      <c r="I226" s="4"/>
      <c r="J226" s="4"/>
      <c r="K226" s="4"/>
      <c r="L226" s="136"/>
      <c r="M226" s="136"/>
      <c r="N226" s="4"/>
      <c r="O226" s="4"/>
      <c r="P226" s="4"/>
    </row>
    <row r="227" spans="1:19" ht="18.75" x14ac:dyDescent="0.2">
      <c r="A227" s="16" t="s">
        <v>314</v>
      </c>
      <c r="B227" s="4" t="s">
        <v>85</v>
      </c>
      <c r="C227" s="4"/>
      <c r="D227" s="81"/>
      <c r="E227" s="116"/>
      <c r="F227" s="4"/>
      <c r="G227" s="136"/>
      <c r="H227" s="136"/>
      <c r="I227" s="4"/>
      <c r="J227" s="4"/>
      <c r="K227" s="4"/>
      <c r="L227" s="136"/>
      <c r="M227" s="136"/>
      <c r="N227" s="4"/>
      <c r="O227" s="4"/>
      <c r="P227" s="4"/>
    </row>
    <row r="228" spans="1:19" ht="18.75" x14ac:dyDescent="0.2">
      <c r="A228" s="16" t="s">
        <v>86</v>
      </c>
      <c r="B228" s="4" t="s">
        <v>85</v>
      </c>
      <c r="C228" s="4"/>
      <c r="D228" s="81"/>
      <c r="E228" s="116"/>
      <c r="F228" s="4"/>
      <c r="G228" s="136"/>
      <c r="H228" s="136"/>
      <c r="I228" s="4"/>
      <c r="J228" s="4"/>
      <c r="K228" s="4"/>
      <c r="L228" s="136"/>
      <c r="M228" s="136"/>
      <c r="N228" s="4"/>
      <c r="O228" s="4"/>
      <c r="P228" s="4"/>
    </row>
    <row r="229" spans="1:19" ht="18.75" x14ac:dyDescent="0.2">
      <c r="A229" s="16" t="s">
        <v>87</v>
      </c>
      <c r="B229" s="4" t="s">
        <v>85</v>
      </c>
      <c r="C229" s="5">
        <f>C231+C232+C233</f>
        <v>89.8</v>
      </c>
      <c r="D229" s="66">
        <f t="shared" ref="D229:P229" si="21">D231+D232+D233</f>
        <v>325</v>
      </c>
      <c r="E229" s="65">
        <f t="shared" si="21"/>
        <v>93.5</v>
      </c>
      <c r="F229" s="29">
        <f t="shared" si="21"/>
        <v>576.774</v>
      </c>
      <c r="G229" s="29">
        <f>G231+G232+G233</f>
        <v>317.2</v>
      </c>
      <c r="H229" s="29">
        <f>H231+H232+H233</f>
        <v>491.2</v>
      </c>
      <c r="I229" s="5">
        <f t="shared" ref="I229" si="22">I231+I232+I233</f>
        <v>263.36</v>
      </c>
      <c r="J229" s="5">
        <f t="shared" si="21"/>
        <v>263.36</v>
      </c>
      <c r="K229" s="29">
        <f t="shared" si="21"/>
        <v>0</v>
      </c>
      <c r="L229" s="29">
        <f t="shared" ref="L229:M229" si="23">L231+L232+L233</f>
        <v>41.25</v>
      </c>
      <c r="M229" s="29">
        <f t="shared" si="23"/>
        <v>41.25</v>
      </c>
      <c r="N229" s="29">
        <f t="shared" si="21"/>
        <v>0</v>
      </c>
      <c r="O229" s="29">
        <f t="shared" ref="O229" si="24">O231+O232+O233</f>
        <v>42.900000000000006</v>
      </c>
      <c r="P229" s="29">
        <f t="shared" si="21"/>
        <v>42.900000000000006</v>
      </c>
      <c r="S229" s="149"/>
    </row>
    <row r="230" spans="1:19" ht="18.75" x14ac:dyDescent="0.2">
      <c r="A230" s="16" t="s">
        <v>19</v>
      </c>
      <c r="B230" s="4"/>
      <c r="C230" s="5"/>
      <c r="D230" s="66"/>
      <c r="E230" s="65"/>
      <c r="F230" s="29"/>
      <c r="G230" s="29"/>
      <c r="H230" s="29"/>
      <c r="I230" s="5"/>
      <c r="J230" s="5"/>
      <c r="K230" s="29"/>
      <c r="L230" s="29"/>
      <c r="M230" s="29"/>
      <c r="N230" s="29"/>
      <c r="O230" s="29"/>
      <c r="P230" s="29"/>
    </row>
    <row r="231" spans="1:19" ht="18.75" x14ac:dyDescent="0.2">
      <c r="A231" s="17" t="s">
        <v>315</v>
      </c>
      <c r="B231" s="4" t="s">
        <v>85</v>
      </c>
      <c r="C231" s="5">
        <v>71.099999999999994</v>
      </c>
      <c r="D231" s="66">
        <v>246.7</v>
      </c>
      <c r="E231" s="65">
        <v>55.7</v>
      </c>
      <c r="F231" s="29">
        <v>325.43</v>
      </c>
      <c r="G231" s="29">
        <v>115</v>
      </c>
      <c r="H231" s="29">
        <v>15.7</v>
      </c>
      <c r="I231" s="5">
        <f>15.3+109.5+41.2</f>
        <v>166</v>
      </c>
      <c r="J231" s="5">
        <f>15.3+109.5+41.2</f>
        <v>166</v>
      </c>
      <c r="K231" s="29"/>
      <c r="L231" s="29">
        <v>15.1</v>
      </c>
      <c r="M231" s="29">
        <v>15.1</v>
      </c>
      <c r="N231" s="29"/>
      <c r="O231" s="29">
        <v>15.7</v>
      </c>
      <c r="P231" s="29">
        <v>15.7</v>
      </c>
    </row>
    <row r="232" spans="1:19" ht="18.75" x14ac:dyDescent="0.2">
      <c r="A232" s="17" t="s">
        <v>316</v>
      </c>
      <c r="B232" s="4" t="s">
        <v>85</v>
      </c>
      <c r="C232" s="5">
        <v>11.9</v>
      </c>
      <c r="D232" s="66">
        <v>62.7</v>
      </c>
      <c r="E232" s="65">
        <v>26.4</v>
      </c>
      <c r="F232" s="29">
        <v>156.88999999999999</v>
      </c>
      <c r="G232" s="29">
        <v>101.7</v>
      </c>
      <c r="H232" s="29">
        <v>436.1</v>
      </c>
      <c r="I232" s="5">
        <f>25.7+1.11+8.8+41.04+1+6+0.4</f>
        <v>84.050000000000011</v>
      </c>
      <c r="J232" s="5">
        <f>25.7+1.11+8.8+41.04+1+6+0.4</f>
        <v>84.050000000000011</v>
      </c>
      <c r="K232" s="29"/>
      <c r="L232" s="29">
        <v>26</v>
      </c>
      <c r="M232" s="29">
        <v>26</v>
      </c>
      <c r="N232" s="29"/>
      <c r="O232" s="29">
        <v>27</v>
      </c>
      <c r="P232" s="29">
        <v>27</v>
      </c>
    </row>
    <row r="233" spans="1:19" ht="18.75" x14ac:dyDescent="0.2">
      <c r="A233" s="17" t="s">
        <v>317</v>
      </c>
      <c r="B233" s="4" t="s">
        <v>85</v>
      </c>
      <c r="C233" s="5">
        <v>6.8</v>
      </c>
      <c r="D233" s="66">
        <v>15.6</v>
      </c>
      <c r="E233" s="65">
        <v>11.4</v>
      </c>
      <c r="F233" s="29">
        <v>94.453999999999994</v>
      </c>
      <c r="G233" s="29">
        <v>100.5</v>
      </c>
      <c r="H233" s="29">
        <v>39.4</v>
      </c>
      <c r="I233" s="5">
        <f>2.26+0.1+0.35+9.3+1.3</f>
        <v>13.310000000000002</v>
      </c>
      <c r="J233" s="5">
        <f>2.26+0.1+0.35+9.3+1.3</f>
        <v>13.310000000000002</v>
      </c>
      <c r="K233" s="29"/>
      <c r="L233" s="29">
        <v>0.15</v>
      </c>
      <c r="M233" s="29">
        <v>0.15</v>
      </c>
      <c r="N233" s="29"/>
      <c r="O233" s="29">
        <v>0.2</v>
      </c>
      <c r="P233" s="29">
        <v>0.2</v>
      </c>
    </row>
    <row r="234" spans="1:19" ht="18.75" x14ac:dyDescent="0.2">
      <c r="A234" s="16" t="s">
        <v>88</v>
      </c>
      <c r="B234" s="4" t="s">
        <v>85</v>
      </c>
      <c r="C234" s="5"/>
      <c r="D234" s="66"/>
      <c r="E234" s="65"/>
      <c r="F234" s="29">
        <v>64.748000000000005</v>
      </c>
      <c r="G234" s="29">
        <v>27.1</v>
      </c>
      <c r="H234" s="29">
        <v>0</v>
      </c>
      <c r="I234" s="29">
        <v>0</v>
      </c>
      <c r="J234" s="29">
        <v>0</v>
      </c>
      <c r="K234" s="29"/>
      <c r="L234" s="29">
        <v>0</v>
      </c>
      <c r="M234" s="29">
        <v>0</v>
      </c>
      <c r="N234" s="29"/>
      <c r="O234" s="29">
        <v>0</v>
      </c>
      <c r="P234" s="29">
        <v>0</v>
      </c>
    </row>
    <row r="235" spans="1:19" ht="57.75" customHeight="1" x14ac:dyDescent="0.2">
      <c r="A235" s="10" t="s">
        <v>299</v>
      </c>
      <c r="B235" s="11"/>
      <c r="C235" s="5"/>
      <c r="D235" s="66"/>
      <c r="E235" s="6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</row>
    <row r="236" spans="1:19" ht="18.75" x14ac:dyDescent="0.2">
      <c r="A236" s="12" t="s">
        <v>300</v>
      </c>
      <c r="B236" s="11" t="s">
        <v>8</v>
      </c>
      <c r="C236" s="43">
        <v>1357.6999999999998</v>
      </c>
      <c r="D236" s="73">
        <v>1929.4</v>
      </c>
      <c r="E236" s="67">
        <f>E238+E247+E248</f>
        <v>1979</v>
      </c>
      <c r="F236" s="43">
        <v>2498.28727617</v>
      </c>
      <c r="G236" s="44">
        <f>G238+G247+G248</f>
        <v>2689.9</v>
      </c>
      <c r="H236" s="44">
        <f>H238+H247+H248</f>
        <v>2944.8</v>
      </c>
      <c r="I236" s="43">
        <f t="shared" ref="I236" si="25">I238+I247+I248</f>
        <v>2437</v>
      </c>
      <c r="J236" s="43">
        <f t="shared" ref="J236" si="26">J238+J247+J248</f>
        <v>2437</v>
      </c>
      <c r="K236" s="44">
        <f t="shared" ref="K236:P236" si="27">K238+K247+K248</f>
        <v>0</v>
      </c>
      <c r="L236" s="44">
        <f>L238+L247+L248</f>
        <v>2260.8000000000002</v>
      </c>
      <c r="M236" s="44">
        <f>M238+M247+M248</f>
        <v>2260.8000000000002</v>
      </c>
      <c r="N236" s="44">
        <f t="shared" si="27"/>
        <v>0</v>
      </c>
      <c r="O236" s="44">
        <f t="shared" ref="O236" si="28">O238+O247+O248</f>
        <v>2349.5</v>
      </c>
      <c r="P236" s="44">
        <f t="shared" si="27"/>
        <v>2349.5</v>
      </c>
    </row>
    <row r="237" spans="1:19" ht="21.75" customHeight="1" x14ac:dyDescent="0.2">
      <c r="A237" s="15" t="s">
        <v>155</v>
      </c>
      <c r="B237" s="14" t="s">
        <v>89</v>
      </c>
      <c r="C237" s="5">
        <v>531.79999999999995</v>
      </c>
      <c r="D237" s="70">
        <v>616</v>
      </c>
      <c r="E237" s="65">
        <v>671.3</v>
      </c>
      <c r="F237" s="5">
        <v>736.2575124</v>
      </c>
      <c r="G237" s="29">
        <v>836.4</v>
      </c>
      <c r="H237" s="5">
        <v>865.2</v>
      </c>
      <c r="I237" s="5">
        <v>890.5</v>
      </c>
      <c r="J237" s="5">
        <v>890.5</v>
      </c>
      <c r="K237" s="5"/>
      <c r="L237" s="5">
        <v>934.4</v>
      </c>
      <c r="M237" s="5">
        <v>934.4</v>
      </c>
      <c r="N237" s="5"/>
      <c r="O237" s="5">
        <v>966.2</v>
      </c>
      <c r="P237" s="5">
        <v>966.2</v>
      </c>
    </row>
    <row r="238" spans="1:19" ht="18.75" x14ac:dyDescent="0.2">
      <c r="A238" s="13" t="s">
        <v>301</v>
      </c>
      <c r="B238" s="14" t="s">
        <v>89</v>
      </c>
      <c r="C238" s="43">
        <v>391.1</v>
      </c>
      <c r="D238" s="73">
        <v>454.6</v>
      </c>
      <c r="E238" s="67">
        <v>506.4</v>
      </c>
      <c r="F238" s="43">
        <v>582.7696761200001</v>
      </c>
      <c r="G238" s="44">
        <f>518.2+61.4+35.2+45.9+6.4</f>
        <v>667.1</v>
      </c>
      <c r="H238" s="44">
        <f>554.7+60.8+54.8+50.3+8.3</f>
        <v>728.89999999999986</v>
      </c>
      <c r="I238" s="43">
        <f>592.3+62.6+55.4+51.1+7.5</f>
        <v>768.9</v>
      </c>
      <c r="J238" s="43">
        <f>592.3+62.6+55.4+51.1+7.5</f>
        <v>768.9</v>
      </c>
      <c r="K238" s="44"/>
      <c r="L238" s="44">
        <f>632.5+66.2+55.7+53.1+7.6</f>
        <v>815.10000000000014</v>
      </c>
      <c r="M238" s="44">
        <f>632.5+66.2+55.7+53.1+7.6</f>
        <v>815.10000000000014</v>
      </c>
      <c r="N238" s="44"/>
      <c r="O238" s="44">
        <f>663.7+66.2+58+53.6+7.6</f>
        <v>849.10000000000014</v>
      </c>
      <c r="P238" s="44">
        <f>663.7+66.2+58+53.6+7.6</f>
        <v>849.10000000000014</v>
      </c>
    </row>
    <row r="239" spans="1:19" ht="18.75" x14ac:dyDescent="0.2">
      <c r="A239" s="15" t="s">
        <v>19</v>
      </c>
      <c r="B239" s="14"/>
      <c r="C239" s="5"/>
      <c r="D239" s="70"/>
      <c r="E239" s="65"/>
      <c r="F239" s="5"/>
      <c r="G239" s="29"/>
      <c r="H239" s="29"/>
      <c r="I239" s="5"/>
      <c r="J239" s="5"/>
      <c r="K239" s="29"/>
      <c r="L239" s="29"/>
      <c r="M239" s="29"/>
      <c r="N239" s="29"/>
      <c r="O239" s="29"/>
      <c r="P239" s="29"/>
    </row>
    <row r="240" spans="1:19" ht="18.75" x14ac:dyDescent="0.2">
      <c r="A240" s="15" t="s">
        <v>1</v>
      </c>
      <c r="B240" s="14" t="s">
        <v>89</v>
      </c>
      <c r="C240" s="5">
        <v>302.8</v>
      </c>
      <c r="D240" s="70">
        <v>362.3</v>
      </c>
      <c r="E240" s="65">
        <v>385.3</v>
      </c>
      <c r="F240" s="5">
        <v>435.72767018999997</v>
      </c>
      <c r="G240" s="29">
        <v>518.20000000000005</v>
      </c>
      <c r="H240" s="29">
        <v>554.70000000000005</v>
      </c>
      <c r="I240" s="5">
        <v>592.29999999999995</v>
      </c>
      <c r="J240" s="5">
        <v>592.29999999999995</v>
      </c>
      <c r="K240" s="29"/>
      <c r="L240" s="29">
        <v>632.5</v>
      </c>
      <c r="M240" s="29">
        <v>632.5</v>
      </c>
      <c r="N240" s="29"/>
      <c r="O240" s="29">
        <v>663.7</v>
      </c>
      <c r="P240" s="29">
        <v>663.7</v>
      </c>
    </row>
    <row r="241" spans="1:16" ht="18.75" x14ac:dyDescent="0.2">
      <c r="A241" s="15" t="s">
        <v>59</v>
      </c>
      <c r="B241" s="14" t="s">
        <v>89</v>
      </c>
      <c r="C241" s="5">
        <v>37.700000000000003</v>
      </c>
      <c r="D241" s="70">
        <v>37.4</v>
      </c>
      <c r="E241" s="65">
        <v>43.1</v>
      </c>
      <c r="F241" s="5">
        <v>55.681584319999999</v>
      </c>
      <c r="G241" s="29">
        <v>61.4</v>
      </c>
      <c r="H241" s="29">
        <v>60.8</v>
      </c>
      <c r="I241" s="5">
        <v>62.6</v>
      </c>
      <c r="J241" s="5">
        <v>62.6</v>
      </c>
      <c r="K241" s="29"/>
      <c r="L241" s="29">
        <v>66.2</v>
      </c>
      <c r="M241" s="29">
        <v>66.2</v>
      </c>
      <c r="N241" s="29"/>
      <c r="O241" s="29">
        <v>66.2</v>
      </c>
      <c r="P241" s="29">
        <v>66.2</v>
      </c>
    </row>
    <row r="242" spans="1:16" ht="37.5" x14ac:dyDescent="0.2">
      <c r="A242" s="15" t="s">
        <v>2</v>
      </c>
      <c r="B242" s="14" t="s">
        <v>89</v>
      </c>
      <c r="C242" s="5">
        <v>0</v>
      </c>
      <c r="D242" s="70">
        <v>0</v>
      </c>
      <c r="E242" s="65">
        <v>17.8</v>
      </c>
      <c r="F242" s="5">
        <v>24.975785100000003</v>
      </c>
      <c r="G242" s="29">
        <v>32.1</v>
      </c>
      <c r="H242" s="29">
        <v>45</v>
      </c>
      <c r="I242" s="5">
        <v>45.6</v>
      </c>
      <c r="J242" s="5">
        <v>45.6</v>
      </c>
      <c r="K242" s="29"/>
      <c r="L242" s="29">
        <v>45.8</v>
      </c>
      <c r="M242" s="29">
        <v>45.8</v>
      </c>
      <c r="N242" s="29"/>
      <c r="O242" s="29">
        <v>47.7</v>
      </c>
      <c r="P242" s="29">
        <v>47.7</v>
      </c>
    </row>
    <row r="243" spans="1:16" ht="18" customHeight="1" x14ac:dyDescent="0.2">
      <c r="A243" s="15" t="s">
        <v>3</v>
      </c>
      <c r="B243" s="14" t="s">
        <v>89</v>
      </c>
      <c r="C243" s="5">
        <v>6.6</v>
      </c>
      <c r="D243" s="70">
        <v>9.6</v>
      </c>
      <c r="E243" s="65">
        <v>12</v>
      </c>
      <c r="F243" s="5">
        <v>12.159426289999999</v>
      </c>
      <c r="G243" s="29">
        <v>12.7</v>
      </c>
      <c r="H243" s="29">
        <v>12.8</v>
      </c>
      <c r="I243" s="5">
        <v>13.3</v>
      </c>
      <c r="J243" s="5">
        <v>13.3</v>
      </c>
      <c r="K243" s="29"/>
      <c r="L243" s="29">
        <v>13.3</v>
      </c>
      <c r="M243" s="29">
        <v>13.3</v>
      </c>
      <c r="N243" s="29"/>
      <c r="O243" s="29">
        <v>7.4</v>
      </c>
      <c r="P243" s="29">
        <v>7.4</v>
      </c>
    </row>
    <row r="244" spans="1:16" ht="18.75" x14ac:dyDescent="0.2">
      <c r="A244" s="15" t="s">
        <v>4</v>
      </c>
      <c r="B244" s="14" t="s">
        <v>89</v>
      </c>
      <c r="C244" s="22">
        <v>0</v>
      </c>
      <c r="D244" s="86">
        <v>0</v>
      </c>
      <c r="E244" s="117">
        <v>0</v>
      </c>
      <c r="F244" s="5">
        <v>0</v>
      </c>
      <c r="G244" s="137">
        <v>0</v>
      </c>
      <c r="H244" s="137">
        <v>0</v>
      </c>
      <c r="I244" s="22">
        <v>0</v>
      </c>
      <c r="J244" s="22">
        <v>0</v>
      </c>
      <c r="K244" s="137"/>
      <c r="L244" s="137">
        <v>0</v>
      </c>
      <c r="M244" s="137">
        <v>0</v>
      </c>
      <c r="N244" s="137"/>
      <c r="O244" s="137">
        <v>0</v>
      </c>
      <c r="P244" s="137">
        <v>0</v>
      </c>
    </row>
    <row r="245" spans="1:16" ht="18.75" x14ac:dyDescent="0.2">
      <c r="A245" s="15" t="s">
        <v>5</v>
      </c>
      <c r="B245" s="14" t="s">
        <v>89</v>
      </c>
      <c r="C245" s="5">
        <v>31.1</v>
      </c>
      <c r="D245" s="70">
        <v>32.9</v>
      </c>
      <c r="E245" s="65">
        <v>33.1</v>
      </c>
      <c r="F245" s="5">
        <v>40.18584791</v>
      </c>
      <c r="G245" s="29">
        <v>33.200000000000003</v>
      </c>
      <c r="H245" s="29">
        <v>37.5</v>
      </c>
      <c r="I245" s="5">
        <v>37.799999999999997</v>
      </c>
      <c r="J245" s="5">
        <v>37.799999999999997</v>
      </c>
      <c r="K245" s="29"/>
      <c r="L245" s="29">
        <v>39.700000000000003</v>
      </c>
      <c r="M245" s="29">
        <v>39.700000000000003</v>
      </c>
      <c r="N245" s="29"/>
      <c r="O245" s="29">
        <v>40.299999999999997</v>
      </c>
      <c r="P245" s="29">
        <v>40.299999999999997</v>
      </c>
    </row>
    <row r="246" spans="1:16" ht="18.75" x14ac:dyDescent="0.2">
      <c r="A246" s="15" t="s">
        <v>322</v>
      </c>
      <c r="B246" s="14" t="s">
        <v>89</v>
      </c>
      <c r="C246" s="5">
        <v>5.9</v>
      </c>
      <c r="D246" s="70">
        <v>6.4</v>
      </c>
      <c r="E246" s="65">
        <v>6.4</v>
      </c>
      <c r="F246" s="5">
        <v>7.0030728399999997</v>
      </c>
      <c r="G246" s="29">
        <v>6.4</v>
      </c>
      <c r="H246" s="29">
        <v>8.3000000000000007</v>
      </c>
      <c r="I246" s="5">
        <v>7.5</v>
      </c>
      <c r="J246" s="5">
        <v>7.5</v>
      </c>
      <c r="K246" s="29"/>
      <c r="L246" s="29">
        <v>7.6</v>
      </c>
      <c r="M246" s="29">
        <v>7.6</v>
      </c>
      <c r="N246" s="29"/>
      <c r="O246" s="29">
        <v>7.6</v>
      </c>
      <c r="P246" s="29">
        <v>7.6</v>
      </c>
    </row>
    <row r="247" spans="1:16" ht="18.75" x14ac:dyDescent="0.2">
      <c r="A247" s="10" t="s">
        <v>6</v>
      </c>
      <c r="B247" s="11" t="s">
        <v>89</v>
      </c>
      <c r="C247" s="43">
        <v>140.69999999999999</v>
      </c>
      <c r="D247" s="73">
        <v>161.5</v>
      </c>
      <c r="E247" s="67">
        <f>E237-E238</f>
        <v>164.89999999999998</v>
      </c>
      <c r="F247" s="43">
        <f>F237-F238</f>
        <v>153.4878362799999</v>
      </c>
      <c r="G247" s="43">
        <f>G237-G238</f>
        <v>169.29999999999995</v>
      </c>
      <c r="H247" s="44">
        <f>H237-H238</f>
        <v>136.30000000000018</v>
      </c>
      <c r="I247" s="43">
        <f t="shared" ref="I247" si="29">I237-I238</f>
        <v>121.60000000000002</v>
      </c>
      <c r="J247" s="43">
        <f t="shared" ref="J247" si="30">J237-J238</f>
        <v>121.60000000000002</v>
      </c>
      <c r="K247" s="44">
        <f t="shared" ref="K247:P247" si="31">K237-K238</f>
        <v>0</v>
      </c>
      <c r="L247" s="44">
        <f t="shared" ref="L247" si="32">L237-L238</f>
        <v>119.29999999999984</v>
      </c>
      <c r="M247" s="44">
        <f t="shared" si="31"/>
        <v>119.29999999999984</v>
      </c>
      <c r="N247" s="44">
        <f t="shared" si="31"/>
        <v>0</v>
      </c>
      <c r="O247" s="44">
        <f t="shared" ref="O247" si="33">O237-O238</f>
        <v>117.09999999999991</v>
      </c>
      <c r="P247" s="44">
        <f t="shared" si="31"/>
        <v>117.09999999999991</v>
      </c>
    </row>
    <row r="248" spans="1:16" ht="18.75" x14ac:dyDescent="0.2">
      <c r="A248" s="10" t="s">
        <v>124</v>
      </c>
      <c r="B248" s="11" t="s">
        <v>89</v>
      </c>
      <c r="C248" s="43">
        <v>825.9</v>
      </c>
      <c r="D248" s="73">
        <v>1313.4</v>
      </c>
      <c r="E248" s="67">
        <v>1307.7</v>
      </c>
      <c r="F248" s="43">
        <v>1762.02976377</v>
      </c>
      <c r="G248" s="44">
        <v>1853.5</v>
      </c>
      <c r="H248" s="44">
        <v>2079.6</v>
      </c>
      <c r="I248" s="43">
        <f>1494.3+41.2+0.4+9.3+1.3</f>
        <v>1546.5</v>
      </c>
      <c r="J248" s="43">
        <f>1494.3+41.2+0.4+9.3+1.3</f>
        <v>1546.5</v>
      </c>
      <c r="K248" s="44"/>
      <c r="L248" s="44">
        <v>1326.4</v>
      </c>
      <c r="M248" s="44">
        <v>1326.4</v>
      </c>
      <c r="N248" s="44"/>
      <c r="O248" s="44">
        <v>1383.3</v>
      </c>
      <c r="P248" s="44">
        <v>1383.3</v>
      </c>
    </row>
    <row r="249" spans="1:16" ht="18.75" x14ac:dyDescent="0.2">
      <c r="A249" s="16" t="s">
        <v>19</v>
      </c>
      <c r="B249" s="11"/>
      <c r="C249" s="5"/>
      <c r="D249" s="78"/>
      <c r="E249" s="66"/>
      <c r="F249" s="5"/>
      <c r="G249" s="29"/>
      <c r="H249" s="5"/>
      <c r="I249" s="5"/>
      <c r="J249" s="5"/>
      <c r="K249" s="5"/>
      <c r="L249" s="5"/>
      <c r="M249" s="5"/>
      <c r="N249" s="5"/>
      <c r="O249" s="5"/>
      <c r="P249" s="5"/>
    </row>
    <row r="250" spans="1:16" ht="18.75" x14ac:dyDescent="0.2">
      <c r="A250" s="16" t="s">
        <v>302</v>
      </c>
      <c r="B250" s="11" t="s">
        <v>89</v>
      </c>
      <c r="C250" s="5">
        <v>153.30000000000001</v>
      </c>
      <c r="D250" s="70">
        <v>496.9</v>
      </c>
      <c r="E250" s="66">
        <v>217.5</v>
      </c>
      <c r="F250" s="5">
        <v>503.68436147000006</v>
      </c>
      <c r="G250" s="29">
        <v>561.9</v>
      </c>
      <c r="H250" s="29">
        <v>758.8</v>
      </c>
      <c r="I250" s="5">
        <v>378.7</v>
      </c>
      <c r="J250" s="5">
        <v>378.7</v>
      </c>
      <c r="K250" s="29"/>
      <c r="L250" s="29">
        <v>209.4</v>
      </c>
      <c r="M250" s="29">
        <v>209.4</v>
      </c>
      <c r="N250" s="29"/>
      <c r="O250" s="29">
        <v>217.8</v>
      </c>
      <c r="P250" s="29">
        <v>217.8</v>
      </c>
    </row>
    <row r="251" spans="1:16" ht="18.75" x14ac:dyDescent="0.2">
      <c r="A251" s="16" t="s">
        <v>303</v>
      </c>
      <c r="B251" s="11" t="s">
        <v>89</v>
      </c>
      <c r="C251" s="5">
        <v>604.5</v>
      </c>
      <c r="D251" s="70">
        <v>741.3</v>
      </c>
      <c r="E251" s="66">
        <v>856.8</v>
      </c>
      <c r="F251" s="5">
        <v>887.90432913999996</v>
      </c>
      <c r="G251" s="29">
        <v>1008.5</v>
      </c>
      <c r="H251" s="29">
        <v>1063.8</v>
      </c>
      <c r="I251" s="5">
        <f>1068.2+41.2+0.4</f>
        <v>1109.8000000000002</v>
      </c>
      <c r="J251" s="5">
        <f>1068.2+41.2+0.4</f>
        <v>1109.8000000000002</v>
      </c>
      <c r="K251" s="29"/>
      <c r="L251" s="29">
        <v>1062.2</v>
      </c>
      <c r="M251" s="29">
        <v>1062.2</v>
      </c>
      <c r="N251" s="29"/>
      <c r="O251" s="29">
        <v>1104.7</v>
      </c>
      <c r="P251" s="29">
        <v>1104.7</v>
      </c>
    </row>
    <row r="252" spans="1:16" ht="18.75" x14ac:dyDescent="0.2">
      <c r="A252" s="16" t="s">
        <v>304</v>
      </c>
      <c r="B252" s="11" t="s">
        <v>89</v>
      </c>
      <c r="C252" s="5">
        <v>50.2</v>
      </c>
      <c r="D252" s="70">
        <v>57.7</v>
      </c>
      <c r="E252" s="66">
        <v>180.3</v>
      </c>
      <c r="F252" s="5">
        <v>328.53899999999999</v>
      </c>
      <c r="G252" s="29">
        <v>232.7</v>
      </c>
      <c r="H252" s="29">
        <v>187.5</v>
      </c>
      <c r="I252" s="5">
        <f>47.4+9.3</f>
        <v>56.7</v>
      </c>
      <c r="J252" s="5">
        <f>47.4+9.3</f>
        <v>56.7</v>
      </c>
      <c r="K252" s="29"/>
      <c r="L252" s="29">
        <v>54.8</v>
      </c>
      <c r="M252" s="29">
        <v>54.8</v>
      </c>
      <c r="N252" s="29"/>
      <c r="O252" s="29">
        <v>60.8</v>
      </c>
      <c r="P252" s="29">
        <v>60.8</v>
      </c>
    </row>
    <row r="253" spans="1:16" ht="18.75" x14ac:dyDescent="0.2">
      <c r="A253" s="16" t="s">
        <v>19</v>
      </c>
      <c r="B253" s="31"/>
      <c r="C253" s="5"/>
      <c r="D253" s="78"/>
      <c r="E253" s="66"/>
      <c r="F253" s="5"/>
      <c r="G253" s="29"/>
      <c r="H253" s="5"/>
      <c r="I253" s="5"/>
      <c r="J253" s="5"/>
      <c r="K253" s="5"/>
      <c r="L253" s="5"/>
      <c r="M253" s="5"/>
      <c r="N253" s="5"/>
      <c r="O253" s="5"/>
      <c r="P253" s="5"/>
    </row>
    <row r="254" spans="1:16" ht="37.5" x14ac:dyDescent="0.2">
      <c r="A254" s="16" t="s">
        <v>125</v>
      </c>
      <c r="B254" s="11" t="s">
        <v>89</v>
      </c>
      <c r="C254" s="5">
        <v>17.899999999999999</v>
      </c>
      <c r="D254" s="70">
        <v>40.5</v>
      </c>
      <c r="E254" s="66">
        <v>29.6</v>
      </c>
      <c r="F254" s="5">
        <v>40.01</v>
      </c>
      <c r="G254" s="29">
        <v>57.4</v>
      </c>
      <c r="H254" s="5">
        <v>50.6</v>
      </c>
      <c r="I254" s="5">
        <v>47.4</v>
      </c>
      <c r="J254" s="5">
        <v>47.4</v>
      </c>
      <c r="K254" s="5"/>
      <c r="L254" s="5">
        <v>54.8</v>
      </c>
      <c r="M254" s="5">
        <v>54.8</v>
      </c>
      <c r="N254" s="5"/>
      <c r="O254" s="5">
        <v>60.8</v>
      </c>
      <c r="P254" s="5">
        <v>60.8</v>
      </c>
    </row>
    <row r="255" spans="1:16" ht="18.75" x14ac:dyDescent="0.2">
      <c r="A255" s="12" t="s">
        <v>305</v>
      </c>
      <c r="B255" s="11" t="s">
        <v>89</v>
      </c>
      <c r="C255" s="43">
        <v>1342.8</v>
      </c>
      <c r="D255" s="73">
        <v>1890.4</v>
      </c>
      <c r="E255" s="64">
        <f>E257+E258+E259+E260+E261+E263+E264+E266+E267+E268</f>
        <v>1927.7</v>
      </c>
      <c r="F255" s="43">
        <f>F257+F258+F259+F260+F261+F262+F263+F264+F266+F267+F268</f>
        <v>2427.8587568399998</v>
      </c>
      <c r="G255" s="44">
        <f>SUM(G257:G269)</f>
        <v>2681.3999999999996</v>
      </c>
      <c r="H255" s="44">
        <f t="shared" ref="H255" si="34">SUM(H257:H269)</f>
        <v>3157.2</v>
      </c>
      <c r="I255" s="43">
        <f t="shared" ref="I255" si="35">SUM(I257:I269)</f>
        <v>2450.9</v>
      </c>
      <c r="J255" s="43">
        <f t="shared" ref="J255" si="36">SUM(J257:J269)</f>
        <v>2450.9</v>
      </c>
      <c r="K255" s="44">
        <f t="shared" ref="K255:M255" si="37">SUM(K257:K269)</f>
        <v>0</v>
      </c>
      <c r="L255" s="44">
        <f t="shared" ref="L255" si="38">SUM(L257:L269)</f>
        <v>2275.1000000000004</v>
      </c>
      <c r="M255" s="44">
        <f t="shared" si="37"/>
        <v>2275.1000000000004</v>
      </c>
      <c r="N255" s="44"/>
      <c r="O255" s="44">
        <f t="shared" ref="O255:P255" si="39">SUM(O257:O269)</f>
        <v>2365.096</v>
      </c>
      <c r="P255" s="44">
        <f t="shared" si="39"/>
        <v>2365.096</v>
      </c>
    </row>
    <row r="256" spans="1:16" ht="18.75" x14ac:dyDescent="0.2">
      <c r="A256" s="18" t="s">
        <v>0</v>
      </c>
      <c r="B256" s="14"/>
      <c r="C256" s="5"/>
      <c r="D256" s="78"/>
      <c r="E256" s="66"/>
      <c r="F256" s="5"/>
      <c r="G256" s="29"/>
      <c r="H256" s="29"/>
      <c r="I256" s="5"/>
      <c r="J256" s="5"/>
      <c r="K256" s="29"/>
      <c r="L256" s="29"/>
      <c r="M256" s="29"/>
      <c r="N256" s="29"/>
      <c r="O256" s="29"/>
      <c r="P256" s="29"/>
    </row>
    <row r="257" spans="1:16" ht="18.75" x14ac:dyDescent="0.2">
      <c r="A257" s="15" t="s">
        <v>126</v>
      </c>
      <c r="B257" s="14" t="s">
        <v>89</v>
      </c>
      <c r="C257" s="5">
        <v>114.8</v>
      </c>
      <c r="D257" s="70">
        <v>125.8</v>
      </c>
      <c r="E257" s="66">
        <v>138</v>
      </c>
      <c r="F257" s="5">
        <v>260.05098563000001</v>
      </c>
      <c r="G257" s="29">
        <v>194.6</v>
      </c>
      <c r="H257" s="29">
        <f>235.9+4.6</f>
        <v>240.5</v>
      </c>
      <c r="I257" s="5">
        <f>186.1+7.5</f>
        <v>193.6</v>
      </c>
      <c r="J257" s="5">
        <f>186.1+7.5</f>
        <v>193.6</v>
      </c>
      <c r="K257" s="29"/>
      <c r="L257" s="29">
        <f>189.3+7.5</f>
        <v>196.8</v>
      </c>
      <c r="M257" s="29">
        <f>189.3+7.5</f>
        <v>196.8</v>
      </c>
      <c r="N257" s="29"/>
      <c r="O257" s="29">
        <v>204.7</v>
      </c>
      <c r="P257" s="29">
        <v>204.7</v>
      </c>
    </row>
    <row r="258" spans="1:16" ht="18.75" x14ac:dyDescent="0.2">
      <c r="A258" s="15" t="s">
        <v>324</v>
      </c>
      <c r="B258" s="14"/>
      <c r="C258" s="5">
        <v>2.2000000000000002</v>
      </c>
      <c r="D258" s="70">
        <v>2.4</v>
      </c>
      <c r="E258" s="66">
        <v>2.5</v>
      </c>
      <c r="F258" s="5">
        <v>2.9651999999999998</v>
      </c>
      <c r="G258" s="29">
        <v>3.4</v>
      </c>
      <c r="H258" s="29">
        <v>4.0999999999999996</v>
      </c>
      <c r="I258" s="5">
        <v>4.5</v>
      </c>
      <c r="J258" s="5">
        <v>4.5</v>
      </c>
      <c r="K258" s="29"/>
      <c r="L258" s="29">
        <v>4.9000000000000004</v>
      </c>
      <c r="M258" s="29">
        <v>4.9000000000000004</v>
      </c>
      <c r="N258" s="29"/>
      <c r="O258" s="29">
        <v>5.096000000000001</v>
      </c>
      <c r="P258" s="29">
        <v>5.096000000000001</v>
      </c>
    </row>
    <row r="259" spans="1:16" ht="37.5" x14ac:dyDescent="0.2">
      <c r="A259" s="15" t="s">
        <v>127</v>
      </c>
      <c r="B259" s="14" t="s">
        <v>89</v>
      </c>
      <c r="C259" s="5">
        <v>8.5</v>
      </c>
      <c r="D259" s="70">
        <v>12.2</v>
      </c>
      <c r="E259" s="66">
        <v>15.3</v>
      </c>
      <c r="F259" s="5">
        <v>16.21933254</v>
      </c>
      <c r="G259" s="29">
        <v>22.3</v>
      </c>
      <c r="H259" s="29">
        <f>17.6+1.2</f>
        <v>18.8</v>
      </c>
      <c r="I259" s="5">
        <v>18.899999999999999</v>
      </c>
      <c r="J259" s="5">
        <v>18.899999999999999</v>
      </c>
      <c r="K259" s="29"/>
      <c r="L259" s="29">
        <v>33.799999999999997</v>
      </c>
      <c r="M259" s="29">
        <v>33.799999999999997</v>
      </c>
      <c r="N259" s="29"/>
      <c r="O259" s="29">
        <v>35.1</v>
      </c>
      <c r="P259" s="29">
        <v>35.1</v>
      </c>
    </row>
    <row r="260" spans="1:16" ht="18.75" x14ac:dyDescent="0.2">
      <c r="A260" s="15" t="s">
        <v>128</v>
      </c>
      <c r="B260" s="14" t="s">
        <v>89</v>
      </c>
      <c r="C260" s="5">
        <v>128.80000000000001</v>
      </c>
      <c r="D260" s="70">
        <v>204.6</v>
      </c>
      <c r="E260" s="66">
        <v>171.7</v>
      </c>
      <c r="F260" s="5">
        <v>281.34667075999999</v>
      </c>
      <c r="G260" s="29">
        <v>324.3</v>
      </c>
      <c r="H260" s="29">
        <f>690.1+9.2</f>
        <v>699.30000000000007</v>
      </c>
      <c r="I260" s="5">
        <v>389.7</v>
      </c>
      <c r="J260" s="5">
        <v>389.7</v>
      </c>
      <c r="K260" s="29"/>
      <c r="L260" s="29">
        <v>261.60000000000002</v>
      </c>
      <c r="M260" s="29">
        <v>261.60000000000002</v>
      </c>
      <c r="N260" s="29"/>
      <c r="O260" s="29">
        <v>272</v>
      </c>
      <c r="P260" s="29">
        <v>272</v>
      </c>
    </row>
    <row r="261" spans="1:16" ht="18.75" x14ac:dyDescent="0.2">
      <c r="A261" s="15" t="s">
        <v>129</v>
      </c>
      <c r="B261" s="14" t="s">
        <v>89</v>
      </c>
      <c r="C261" s="5">
        <v>91.4</v>
      </c>
      <c r="D261" s="70">
        <v>104.5</v>
      </c>
      <c r="E261" s="66">
        <v>80.900000000000006</v>
      </c>
      <c r="F261" s="5">
        <v>210.50660643999998</v>
      </c>
      <c r="G261" s="29">
        <v>281.2</v>
      </c>
      <c r="H261" s="29">
        <v>176.5</v>
      </c>
      <c r="I261" s="5">
        <f>58.4+52.2</f>
        <v>110.6</v>
      </c>
      <c r="J261" s="5">
        <f>58.4+52.2</f>
        <v>110.6</v>
      </c>
      <c r="K261" s="29"/>
      <c r="L261" s="29">
        <v>61.2</v>
      </c>
      <c r="M261" s="29">
        <v>61.2</v>
      </c>
      <c r="N261" s="29"/>
      <c r="O261" s="29">
        <v>63.6</v>
      </c>
      <c r="P261" s="29">
        <v>63.6</v>
      </c>
    </row>
    <row r="262" spans="1:16" ht="18.75" x14ac:dyDescent="0.2">
      <c r="A262" s="15" t="s">
        <v>130</v>
      </c>
      <c r="B262" s="14" t="s">
        <v>89</v>
      </c>
      <c r="C262" s="5"/>
      <c r="D262" s="70"/>
      <c r="E262" s="66">
        <v>0</v>
      </c>
      <c r="F262" s="5">
        <v>1.1503838400000002</v>
      </c>
      <c r="G262" s="29">
        <v>22.4</v>
      </c>
      <c r="H262" s="29">
        <v>14.8</v>
      </c>
      <c r="I262" s="5">
        <v>10.199999999999999</v>
      </c>
      <c r="J262" s="5">
        <v>10.199999999999999</v>
      </c>
      <c r="K262" s="29"/>
      <c r="L262" s="29">
        <v>11.1</v>
      </c>
      <c r="M262" s="29">
        <v>11.1</v>
      </c>
      <c r="N262" s="29"/>
      <c r="O262" s="29">
        <v>11.5</v>
      </c>
      <c r="P262" s="29">
        <v>11.5</v>
      </c>
    </row>
    <row r="263" spans="1:16" ht="18.75" x14ac:dyDescent="0.2">
      <c r="A263" s="15" t="s">
        <v>90</v>
      </c>
      <c r="B263" s="14" t="s">
        <v>89</v>
      </c>
      <c r="C263" s="5">
        <v>779.3</v>
      </c>
      <c r="D263" s="70">
        <v>1189.9000000000001</v>
      </c>
      <c r="E263" s="66">
        <v>1176</v>
      </c>
      <c r="F263" s="5">
        <v>1177.29099948</v>
      </c>
      <c r="G263" s="29">
        <v>1285.0999999999999</v>
      </c>
      <c r="H263" s="29">
        <v>1447.2</v>
      </c>
      <c r="I263" s="5">
        <f>1254.9+11.4</f>
        <v>1266.3000000000002</v>
      </c>
      <c r="J263" s="5">
        <f>1254.9+11.4</f>
        <v>1266.3000000000002</v>
      </c>
      <c r="K263" s="29"/>
      <c r="L263" s="29">
        <f>1275.9+13.7</f>
        <v>1289.6000000000001</v>
      </c>
      <c r="M263" s="29">
        <f>1275.9+13.7</f>
        <v>1289.6000000000001</v>
      </c>
      <c r="N263" s="29"/>
      <c r="O263" s="29">
        <v>1341.2</v>
      </c>
      <c r="P263" s="29">
        <v>1341.2</v>
      </c>
    </row>
    <row r="264" spans="1:16" ht="18.75" x14ac:dyDescent="0.2">
      <c r="A264" s="15" t="s">
        <v>131</v>
      </c>
      <c r="B264" s="14" t="s">
        <v>89</v>
      </c>
      <c r="C264" s="5">
        <v>133.19999999999999</v>
      </c>
      <c r="D264" s="70">
        <v>159</v>
      </c>
      <c r="E264" s="66">
        <v>205.6</v>
      </c>
      <c r="F264" s="5">
        <v>220.82571181999998</v>
      </c>
      <c r="G264" s="29">
        <v>292.8</v>
      </c>
      <c r="H264" s="29">
        <f>357.3+6.6</f>
        <v>363.90000000000003</v>
      </c>
      <c r="I264" s="5">
        <f>209.3+7.2</f>
        <v>216.5</v>
      </c>
      <c r="J264" s="5">
        <f>209.3+7.2</f>
        <v>216.5</v>
      </c>
      <c r="K264" s="29"/>
      <c r="L264" s="29">
        <f>223.4+7.2</f>
        <v>230.6</v>
      </c>
      <c r="M264" s="29">
        <f>223.4+7.2</f>
        <v>230.6</v>
      </c>
      <c r="N264" s="29"/>
      <c r="O264" s="29">
        <v>239</v>
      </c>
      <c r="P264" s="29">
        <v>239</v>
      </c>
    </row>
    <row r="265" spans="1:16" ht="18.75" x14ac:dyDescent="0.2">
      <c r="A265" s="15" t="s">
        <v>132</v>
      </c>
      <c r="B265" s="14" t="s">
        <v>89</v>
      </c>
      <c r="C265" s="22"/>
      <c r="D265" s="86"/>
      <c r="E265" s="86">
        <v>0</v>
      </c>
      <c r="F265" s="5">
        <v>0</v>
      </c>
      <c r="G265" s="29">
        <v>0</v>
      </c>
      <c r="H265" s="137">
        <v>0</v>
      </c>
      <c r="I265" s="5">
        <v>0</v>
      </c>
      <c r="J265" s="5">
        <v>0</v>
      </c>
      <c r="K265" s="137"/>
      <c r="L265" s="29">
        <v>0</v>
      </c>
      <c r="M265" s="29">
        <v>0</v>
      </c>
      <c r="N265" s="137"/>
      <c r="O265" s="29">
        <v>0</v>
      </c>
      <c r="P265" s="29">
        <v>0</v>
      </c>
    </row>
    <row r="266" spans="1:16" ht="18.75" x14ac:dyDescent="0.2">
      <c r="A266" s="15" t="s">
        <v>91</v>
      </c>
      <c r="B266" s="14" t="s">
        <v>89</v>
      </c>
      <c r="C266" s="5">
        <v>75.099999999999994</v>
      </c>
      <c r="D266" s="70">
        <v>75.900000000000006</v>
      </c>
      <c r="E266" s="66">
        <v>108</v>
      </c>
      <c r="F266" s="5">
        <v>112.72096933</v>
      </c>
      <c r="G266" s="29">
        <v>124.4</v>
      </c>
      <c r="H266" s="29">
        <v>139.1</v>
      </c>
      <c r="I266" s="5">
        <v>146.9</v>
      </c>
      <c r="J266" s="5">
        <v>146.9</v>
      </c>
      <c r="K266" s="29"/>
      <c r="L266" s="29">
        <v>148.1</v>
      </c>
      <c r="M266" s="29">
        <v>148.1</v>
      </c>
      <c r="N266" s="29"/>
      <c r="O266" s="29">
        <v>154</v>
      </c>
      <c r="P266" s="29">
        <v>154</v>
      </c>
    </row>
    <row r="267" spans="1:16" ht="18.75" x14ac:dyDescent="0.2">
      <c r="A267" s="15" t="s">
        <v>133</v>
      </c>
      <c r="B267" s="14" t="s">
        <v>89</v>
      </c>
      <c r="C267" s="5">
        <v>3.2</v>
      </c>
      <c r="D267" s="70">
        <v>8.9</v>
      </c>
      <c r="E267" s="66">
        <v>21.7</v>
      </c>
      <c r="F267" s="5">
        <v>134.10434667000001</v>
      </c>
      <c r="G267" s="29">
        <v>118.7</v>
      </c>
      <c r="H267" s="29">
        <v>40.4</v>
      </c>
      <c r="I267" s="5">
        <v>83.2</v>
      </c>
      <c r="J267" s="5">
        <v>83.2</v>
      </c>
      <c r="K267" s="29"/>
      <c r="L267" s="29">
        <v>26.4</v>
      </c>
      <c r="M267" s="29">
        <v>26.4</v>
      </c>
      <c r="N267" s="29"/>
      <c r="O267" s="29">
        <v>27.4</v>
      </c>
      <c r="P267" s="29">
        <v>27.4</v>
      </c>
    </row>
    <row r="268" spans="1:16" ht="18.75" x14ac:dyDescent="0.2">
      <c r="A268" s="15" t="s">
        <v>323</v>
      </c>
      <c r="B268" s="14" t="s">
        <v>89</v>
      </c>
      <c r="C268" s="5">
        <v>6.3</v>
      </c>
      <c r="D268" s="70">
        <v>7.2</v>
      </c>
      <c r="E268" s="66">
        <v>8</v>
      </c>
      <c r="F268" s="5">
        <v>10.677550330000001</v>
      </c>
      <c r="G268" s="29">
        <v>12.2</v>
      </c>
      <c r="H268" s="29">
        <v>12.6</v>
      </c>
      <c r="I268" s="5">
        <v>10.5</v>
      </c>
      <c r="J268" s="5">
        <v>10.5</v>
      </c>
      <c r="K268" s="29"/>
      <c r="L268" s="29">
        <v>11</v>
      </c>
      <c r="M268" s="29">
        <v>11</v>
      </c>
      <c r="N268" s="29"/>
      <c r="O268" s="29">
        <v>11.5</v>
      </c>
      <c r="P268" s="29">
        <v>11.5</v>
      </c>
    </row>
    <row r="269" spans="1:16" ht="18.75" x14ac:dyDescent="0.2">
      <c r="A269" s="15" t="s">
        <v>306</v>
      </c>
      <c r="B269" s="14" t="s">
        <v>89</v>
      </c>
      <c r="C269" s="5"/>
      <c r="D269" s="70"/>
      <c r="E269" s="66">
        <v>0</v>
      </c>
      <c r="F269" s="5">
        <v>0</v>
      </c>
      <c r="G269" s="29">
        <v>0</v>
      </c>
      <c r="H269" s="29">
        <v>0</v>
      </c>
      <c r="I269" s="5">
        <v>0</v>
      </c>
      <c r="J269" s="5">
        <v>0</v>
      </c>
      <c r="K269" s="29"/>
      <c r="L269" s="29">
        <v>0</v>
      </c>
      <c r="M269" s="29">
        <v>0</v>
      </c>
      <c r="N269" s="29"/>
      <c r="O269" s="29">
        <v>0</v>
      </c>
      <c r="P269" s="29">
        <v>0</v>
      </c>
    </row>
    <row r="270" spans="1:16" ht="18.75" x14ac:dyDescent="0.2">
      <c r="A270" s="17" t="s">
        <v>307</v>
      </c>
      <c r="B270" s="11" t="s">
        <v>89</v>
      </c>
      <c r="C270" s="5">
        <v>14.9</v>
      </c>
      <c r="D270" s="71">
        <v>39</v>
      </c>
      <c r="E270" s="66">
        <f>E236-E255</f>
        <v>51.299999999999955</v>
      </c>
      <c r="F270" s="5">
        <f>F236-F255</f>
        <v>70.428519330000199</v>
      </c>
      <c r="G270" s="5">
        <f t="shared" ref="G270:P270" si="40">G236-G255</f>
        <v>8.5000000000004547</v>
      </c>
      <c r="H270" s="29">
        <f t="shared" si="40"/>
        <v>-212.39999999999964</v>
      </c>
      <c r="I270" s="5">
        <f t="shared" si="40"/>
        <v>-13.900000000000091</v>
      </c>
      <c r="J270" s="5">
        <f t="shared" ref="J270" si="41">J236-J255</f>
        <v>-13.900000000000091</v>
      </c>
      <c r="K270" s="29">
        <f t="shared" si="40"/>
        <v>0</v>
      </c>
      <c r="L270" s="29">
        <f t="shared" ref="L270" si="42">L236-L255</f>
        <v>-14.300000000000182</v>
      </c>
      <c r="M270" s="29">
        <f t="shared" si="40"/>
        <v>-14.300000000000182</v>
      </c>
      <c r="N270" s="29">
        <f t="shared" si="40"/>
        <v>0</v>
      </c>
      <c r="O270" s="29">
        <f t="shared" ref="O270" si="43">O236-O255</f>
        <v>-15.596000000000004</v>
      </c>
      <c r="P270" s="29">
        <f t="shared" si="40"/>
        <v>-15.596000000000004</v>
      </c>
    </row>
    <row r="271" spans="1:16" ht="18.75" x14ac:dyDescent="0.2">
      <c r="A271" s="12" t="s">
        <v>308</v>
      </c>
      <c r="B271" s="11" t="s">
        <v>89</v>
      </c>
      <c r="C271" s="43">
        <v>0</v>
      </c>
      <c r="D271" s="80">
        <v>0</v>
      </c>
      <c r="E271" s="80">
        <v>0</v>
      </c>
      <c r="F271" s="138">
        <v>0</v>
      </c>
      <c r="G271" s="130">
        <v>0</v>
      </c>
      <c r="H271" s="138">
        <v>0</v>
      </c>
      <c r="I271" s="138">
        <v>0</v>
      </c>
      <c r="J271" s="138">
        <v>0</v>
      </c>
      <c r="K271" s="138">
        <v>0</v>
      </c>
      <c r="L271" s="138">
        <v>0</v>
      </c>
      <c r="M271" s="138">
        <v>0</v>
      </c>
      <c r="N271" s="138">
        <v>0</v>
      </c>
      <c r="O271" s="138">
        <v>0</v>
      </c>
      <c r="P271" s="138">
        <v>0</v>
      </c>
    </row>
    <row r="272" spans="1:16" ht="18.75" x14ac:dyDescent="0.2">
      <c r="A272" s="10" t="s">
        <v>310</v>
      </c>
      <c r="B272" s="4"/>
      <c r="C272" s="5"/>
      <c r="D272" s="78"/>
      <c r="E272" s="6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spans="1:18" ht="18.75" x14ac:dyDescent="0.2">
      <c r="A273" s="12" t="s">
        <v>331</v>
      </c>
      <c r="B273" s="4" t="s">
        <v>77</v>
      </c>
      <c r="C273" s="52">
        <f t="shared" ref="C273:D273" si="44">C280+C309/1000</f>
        <v>19.479999999999997</v>
      </c>
      <c r="D273" s="68">
        <f t="shared" si="44"/>
        <v>19.053000000000001</v>
      </c>
      <c r="E273" s="68">
        <f>E280+E309/1000</f>
        <v>18.558</v>
      </c>
      <c r="F273" s="48">
        <f>F310/F308*100/1000</f>
        <v>19.444444444444443</v>
      </c>
      <c r="G273" s="48">
        <f>G310/G308*100/1000</f>
        <v>19.545454545454543</v>
      </c>
      <c r="H273" s="48">
        <f>H310/H308*100/1000</f>
        <v>19.375</v>
      </c>
      <c r="I273" s="48">
        <f>I310/I308*100/1000</f>
        <v>19.375</v>
      </c>
      <c r="J273" s="48">
        <f>J310/J308*100/1000</f>
        <v>19.375</v>
      </c>
      <c r="K273" s="48">
        <f t="shared" ref="K273:P273" si="45">K310/K308*100/1000</f>
        <v>19.375</v>
      </c>
      <c r="L273" s="48">
        <f t="shared" si="45"/>
        <v>19.375</v>
      </c>
      <c r="M273" s="48">
        <f t="shared" si="45"/>
        <v>19.375</v>
      </c>
      <c r="N273" s="48">
        <f t="shared" si="45"/>
        <v>19.375</v>
      </c>
      <c r="O273" s="48">
        <f t="shared" si="45"/>
        <v>19.375</v>
      </c>
      <c r="P273" s="48">
        <f t="shared" si="45"/>
        <v>19.375</v>
      </c>
    </row>
    <row r="274" spans="1:18" ht="38.25" customHeight="1" x14ac:dyDescent="0.2">
      <c r="A274" s="17" t="s">
        <v>332</v>
      </c>
      <c r="B274" s="4" t="s">
        <v>77</v>
      </c>
      <c r="C274" s="27"/>
      <c r="D274" s="87"/>
      <c r="E274" s="88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1:18" ht="37.5" x14ac:dyDescent="0.2">
      <c r="A275" s="61" t="s">
        <v>335</v>
      </c>
      <c r="B275" s="4" t="s">
        <v>77</v>
      </c>
      <c r="C275" s="48">
        <v>22.067</v>
      </c>
      <c r="D275" s="68">
        <v>22.117000000000001</v>
      </c>
      <c r="E275" s="68">
        <v>22.145</v>
      </c>
      <c r="F275" s="48">
        <v>22.398</v>
      </c>
      <c r="G275" s="48">
        <v>23.7</v>
      </c>
      <c r="H275" s="48">
        <v>23.7</v>
      </c>
      <c r="I275" s="43">
        <v>23.68</v>
      </c>
      <c r="J275" s="43">
        <v>23.7</v>
      </c>
      <c r="K275" s="43"/>
      <c r="L275" s="43">
        <v>23.68</v>
      </c>
      <c r="M275" s="43">
        <v>23.7</v>
      </c>
      <c r="N275" s="43"/>
      <c r="O275" s="48">
        <v>23.59</v>
      </c>
      <c r="P275" s="48">
        <v>23.6</v>
      </c>
      <c r="R275" s="9" t="s">
        <v>92</v>
      </c>
    </row>
    <row r="276" spans="1:18" ht="18.75" x14ac:dyDescent="0.2">
      <c r="A276" s="33" t="s">
        <v>336</v>
      </c>
      <c r="B276" s="4" t="s">
        <v>77</v>
      </c>
      <c r="C276" s="5"/>
      <c r="D276" s="70"/>
      <c r="E276" s="6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</row>
    <row r="277" spans="1:18" ht="56.25" x14ac:dyDescent="0.2">
      <c r="A277" s="33" t="s">
        <v>337</v>
      </c>
      <c r="B277" s="4" t="s">
        <v>77</v>
      </c>
      <c r="C277" s="5"/>
      <c r="D277" s="74"/>
      <c r="E277" s="74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8" ht="39.75" customHeight="1" x14ac:dyDescent="0.2">
      <c r="A278" s="33" t="s">
        <v>367</v>
      </c>
      <c r="B278" s="4" t="s">
        <v>77</v>
      </c>
      <c r="C278" s="5"/>
      <c r="D278" s="79"/>
      <c r="E278" s="6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</row>
    <row r="279" spans="1:18" ht="42" customHeight="1" x14ac:dyDescent="0.2">
      <c r="A279" s="33" t="s">
        <v>368</v>
      </c>
      <c r="B279" s="4" t="s">
        <v>77</v>
      </c>
      <c r="C279" s="27"/>
      <c r="D279" s="88"/>
      <c r="E279" s="88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1:18" ht="37.5" x14ac:dyDescent="0.2">
      <c r="A280" s="60" t="s">
        <v>333</v>
      </c>
      <c r="B280" s="7" t="s">
        <v>77</v>
      </c>
      <c r="C280" s="1">
        <v>16.899999999999999</v>
      </c>
      <c r="D280" s="89">
        <f t="shared" ref="D280:J280" si="46">D275-D300</f>
        <v>16.93</v>
      </c>
      <c r="E280" s="89">
        <f t="shared" si="46"/>
        <v>17.850999999999999</v>
      </c>
      <c r="F280" s="47">
        <f>F275-F300</f>
        <v>18.274999999999999</v>
      </c>
      <c r="G280" s="47">
        <f>G275-G300</f>
        <v>18.655000000000001</v>
      </c>
      <c r="H280" s="47">
        <f>H275-H300</f>
        <v>18.655000000000001</v>
      </c>
      <c r="I280" s="47">
        <f t="shared" si="46"/>
        <v>18.634999999999998</v>
      </c>
      <c r="J280" s="47">
        <f t="shared" si="46"/>
        <v>18.655000000000001</v>
      </c>
      <c r="K280" s="47">
        <f t="shared" ref="K280:P280" si="47">K275-K300</f>
        <v>-5.0449999999999999</v>
      </c>
      <c r="L280" s="47">
        <f>L275-L300</f>
        <v>18.634999999999998</v>
      </c>
      <c r="M280" s="47">
        <f>M275-M300</f>
        <v>18.655000000000001</v>
      </c>
      <c r="N280" s="47">
        <f t="shared" si="47"/>
        <v>-5.0449999999999999</v>
      </c>
      <c r="O280" s="47">
        <f t="shared" si="47"/>
        <v>18.545000000000002</v>
      </c>
      <c r="P280" s="139">
        <f t="shared" si="47"/>
        <v>18.555</v>
      </c>
    </row>
    <row r="281" spans="1:18" ht="37.5" x14ac:dyDescent="0.2">
      <c r="A281" s="33" t="s">
        <v>338</v>
      </c>
      <c r="B281" s="7" t="s">
        <v>77</v>
      </c>
      <c r="C281" s="30">
        <v>0.92900000000000005</v>
      </c>
      <c r="D281" s="90">
        <v>0.93200000000000005</v>
      </c>
      <c r="E281" s="90">
        <v>0.88900000000000001</v>
      </c>
      <c r="F281" s="30">
        <v>0.98399999999999999</v>
      </c>
      <c r="G281" s="30">
        <v>9.6280000000000001</v>
      </c>
      <c r="H281" s="30">
        <v>0.98399999999999999</v>
      </c>
      <c r="I281" s="30">
        <v>0.98399999999999999</v>
      </c>
      <c r="J281" s="30">
        <v>0.98399999999999999</v>
      </c>
      <c r="K281" s="30">
        <v>0.98399999999999999</v>
      </c>
      <c r="L281" s="30">
        <v>0.98399999999999999</v>
      </c>
      <c r="M281" s="30">
        <v>0.98399999999999999</v>
      </c>
      <c r="N281" s="30">
        <v>0.98399999999999999</v>
      </c>
      <c r="O281" s="30">
        <v>0.98399999999999999</v>
      </c>
      <c r="P281" s="30">
        <v>0.98399999999999999</v>
      </c>
    </row>
    <row r="282" spans="1:18" ht="18.75" x14ac:dyDescent="0.2">
      <c r="A282" s="33" t="s">
        <v>339</v>
      </c>
      <c r="B282" s="7" t="s">
        <v>77</v>
      </c>
      <c r="C282" s="53">
        <v>0.20499999999999999</v>
      </c>
      <c r="D282" s="91">
        <v>0.19900000000000001</v>
      </c>
      <c r="E282" s="91">
        <v>0.50900000000000001</v>
      </c>
      <c r="F282" s="53">
        <v>0.34699999999999998</v>
      </c>
      <c r="G282" s="53">
        <v>0.245</v>
      </c>
      <c r="H282" s="53">
        <v>0.245</v>
      </c>
      <c r="I282" s="53">
        <v>0.245</v>
      </c>
      <c r="J282" s="53">
        <v>0.245</v>
      </c>
      <c r="K282" s="53">
        <v>0.245</v>
      </c>
      <c r="L282" s="53">
        <v>0.245</v>
      </c>
      <c r="M282" s="53">
        <v>0.245</v>
      </c>
      <c r="N282" s="53">
        <v>0.245</v>
      </c>
      <c r="O282" s="53">
        <v>0.245</v>
      </c>
      <c r="P282" s="53">
        <v>0.245</v>
      </c>
    </row>
    <row r="283" spans="1:18" ht="18.75" x14ac:dyDescent="0.2">
      <c r="A283" s="33" t="s">
        <v>340</v>
      </c>
      <c r="B283" s="7" t="s">
        <v>77</v>
      </c>
      <c r="C283" s="7">
        <v>1.139</v>
      </c>
      <c r="D283" s="92">
        <v>1.0760000000000001</v>
      </c>
      <c r="E283" s="91">
        <v>0.68700000000000006</v>
      </c>
      <c r="F283" s="53">
        <v>0.89900000000000002</v>
      </c>
      <c r="G283" s="53">
        <v>0.873</v>
      </c>
      <c r="H283" s="53">
        <v>0.873</v>
      </c>
      <c r="I283" s="53">
        <v>0.873</v>
      </c>
      <c r="J283" s="53">
        <v>0.873</v>
      </c>
      <c r="K283" s="53">
        <v>0.873</v>
      </c>
      <c r="L283" s="53">
        <v>0.873</v>
      </c>
      <c r="M283" s="53">
        <v>0.873</v>
      </c>
      <c r="N283" s="53">
        <v>0.873</v>
      </c>
      <c r="O283" s="53">
        <v>0.873</v>
      </c>
      <c r="P283" s="53">
        <v>0.873</v>
      </c>
    </row>
    <row r="284" spans="1:18" ht="37.5" x14ac:dyDescent="0.2">
      <c r="A284" s="33" t="s">
        <v>341</v>
      </c>
      <c r="B284" s="7" t="s">
        <v>77</v>
      </c>
      <c r="C284" s="29">
        <v>0.1</v>
      </c>
      <c r="D284" s="65">
        <v>0.14099999999999999</v>
      </c>
      <c r="E284" s="65">
        <v>0.14399999999999999</v>
      </c>
      <c r="F284" s="29">
        <v>0.129</v>
      </c>
      <c r="G284" s="29">
        <v>0.08</v>
      </c>
      <c r="H284" s="29">
        <v>0.08</v>
      </c>
      <c r="I284" s="29">
        <v>0.08</v>
      </c>
      <c r="J284" s="29">
        <v>0.08</v>
      </c>
      <c r="K284" s="29">
        <v>0.08</v>
      </c>
      <c r="L284" s="29">
        <v>0.08</v>
      </c>
      <c r="M284" s="29">
        <v>0.08</v>
      </c>
      <c r="N284" s="29">
        <v>0.08</v>
      </c>
      <c r="O284" s="29">
        <v>0.08</v>
      </c>
      <c r="P284" s="29">
        <v>0.08</v>
      </c>
    </row>
    <row r="285" spans="1:18" ht="56.25" x14ac:dyDescent="0.2">
      <c r="A285" s="33" t="s">
        <v>342</v>
      </c>
      <c r="B285" s="7" t="s">
        <v>77</v>
      </c>
      <c r="C285" s="29">
        <v>0.223</v>
      </c>
      <c r="D285" s="74">
        <v>0.223</v>
      </c>
      <c r="E285" s="74">
        <v>0.10100000000000001</v>
      </c>
      <c r="F285" s="28">
        <v>0.115</v>
      </c>
      <c r="G285" s="28">
        <v>0.38500000000000001</v>
      </c>
      <c r="H285" s="28">
        <v>0.38500000000000001</v>
      </c>
      <c r="I285" s="28">
        <v>0.38500000000000001</v>
      </c>
      <c r="J285" s="28">
        <v>0.38500000000000001</v>
      </c>
      <c r="K285" s="28">
        <v>0.38500000000000001</v>
      </c>
      <c r="L285" s="28">
        <v>0.38500000000000001</v>
      </c>
      <c r="M285" s="28">
        <v>0.38500000000000001</v>
      </c>
      <c r="N285" s="28">
        <v>0.38500000000000001</v>
      </c>
      <c r="O285" s="28">
        <v>0.38500000000000001</v>
      </c>
      <c r="P285" s="28">
        <v>0.38500000000000001</v>
      </c>
    </row>
    <row r="286" spans="1:18" ht="18.75" x14ac:dyDescent="0.2">
      <c r="A286" s="33" t="s">
        <v>343</v>
      </c>
      <c r="B286" s="7" t="s">
        <v>77</v>
      </c>
      <c r="C286" s="29">
        <v>6.7000000000000004E-2</v>
      </c>
      <c r="D286" s="70">
        <v>6.9000000000000006E-2</v>
      </c>
      <c r="E286" s="70">
        <v>4.3999999999999997E-2</v>
      </c>
      <c r="F286" s="25">
        <v>7.4999999999999997E-2</v>
      </c>
      <c r="G286" s="25">
        <v>0.34</v>
      </c>
      <c r="H286" s="25">
        <v>0.34</v>
      </c>
      <c r="I286" s="25">
        <v>0.34</v>
      </c>
      <c r="J286" s="25">
        <v>0.34</v>
      </c>
      <c r="K286" s="25">
        <v>0.34</v>
      </c>
      <c r="L286" s="25">
        <v>0.34</v>
      </c>
      <c r="M286" s="25">
        <v>0.34</v>
      </c>
      <c r="N286" s="25">
        <v>0.34</v>
      </c>
      <c r="O286" s="25">
        <v>0.34</v>
      </c>
      <c r="P286" s="25">
        <v>0.34</v>
      </c>
    </row>
    <row r="287" spans="1:18" ht="37.5" x14ac:dyDescent="0.2">
      <c r="A287" s="33" t="s">
        <v>344</v>
      </c>
      <c r="B287" s="7" t="s">
        <v>77</v>
      </c>
      <c r="C287" s="23">
        <v>0.91700000000000004</v>
      </c>
      <c r="D287" s="93">
        <v>0.93100000000000005</v>
      </c>
      <c r="E287" s="111">
        <v>0.91600000000000004</v>
      </c>
      <c r="F287" s="23">
        <v>1.034</v>
      </c>
      <c r="G287" s="23">
        <v>2.1850000000000001</v>
      </c>
      <c r="H287" s="23">
        <v>2.1850000000000001</v>
      </c>
      <c r="I287" s="23">
        <v>2.1850000000000001</v>
      </c>
      <c r="J287" s="23">
        <v>2.1850000000000001</v>
      </c>
      <c r="K287" s="23">
        <v>2.1850000000000001</v>
      </c>
      <c r="L287" s="23">
        <v>2.1850000000000001</v>
      </c>
      <c r="M287" s="23">
        <v>2.1850000000000001</v>
      </c>
      <c r="N287" s="23">
        <v>2.1850000000000001</v>
      </c>
      <c r="O287" s="23">
        <v>2.1850000000000001</v>
      </c>
      <c r="P287" s="23">
        <v>2.1850000000000001</v>
      </c>
    </row>
    <row r="288" spans="1:18" ht="18.75" x14ac:dyDescent="0.2">
      <c r="A288" s="33" t="s">
        <v>345</v>
      </c>
      <c r="B288" s="7" t="s">
        <v>77</v>
      </c>
      <c r="C288" s="29">
        <v>0.41199999999999998</v>
      </c>
      <c r="D288" s="74">
        <v>9.2999999999999999E-2</v>
      </c>
      <c r="E288" s="74">
        <v>6.7000000000000004E-2</v>
      </c>
      <c r="F288" s="28">
        <v>8.5000000000000006E-2</v>
      </c>
      <c r="G288" s="28">
        <v>0.17</v>
      </c>
      <c r="H288" s="28">
        <v>0.17</v>
      </c>
      <c r="I288" s="28">
        <v>0.17</v>
      </c>
      <c r="J288" s="28">
        <v>0.17</v>
      </c>
      <c r="K288" s="28">
        <v>0.17</v>
      </c>
      <c r="L288" s="28">
        <v>0.17</v>
      </c>
      <c r="M288" s="28">
        <v>0.17</v>
      </c>
      <c r="N288" s="28">
        <v>0.17</v>
      </c>
      <c r="O288" s="28">
        <v>0.17</v>
      </c>
      <c r="P288" s="28">
        <v>0.17</v>
      </c>
    </row>
    <row r="289" spans="1:16" ht="37.5" x14ac:dyDescent="0.2">
      <c r="A289" s="33" t="s">
        <v>346</v>
      </c>
      <c r="B289" s="7" t="s">
        <v>77</v>
      </c>
      <c r="C289" s="54">
        <v>2.5999999999999999E-2</v>
      </c>
      <c r="D289" s="70">
        <v>2.5000000000000001E-2</v>
      </c>
      <c r="E289" s="70">
        <v>2.5999999999999999E-2</v>
      </c>
      <c r="F289" s="25">
        <v>0.114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</row>
    <row r="290" spans="1:16" ht="18.75" x14ac:dyDescent="0.2">
      <c r="A290" s="33" t="s">
        <v>347</v>
      </c>
      <c r="B290" s="7" t="s">
        <v>77</v>
      </c>
      <c r="C290" s="5"/>
      <c r="D290" s="70"/>
      <c r="E290" s="66">
        <v>0.01</v>
      </c>
      <c r="F290" s="5">
        <v>7.0000000000000007E-2</v>
      </c>
      <c r="G290" s="5">
        <v>6.0999999999999999E-2</v>
      </c>
      <c r="H290" s="5">
        <v>6.0999999999999999E-2</v>
      </c>
      <c r="I290" s="5">
        <v>6.0999999999999999E-2</v>
      </c>
      <c r="J290" s="5">
        <v>6.0999999999999999E-2</v>
      </c>
      <c r="K290" s="5">
        <v>6.0999999999999999E-2</v>
      </c>
      <c r="L290" s="5">
        <v>6.0999999999999999E-2</v>
      </c>
      <c r="M290" s="5">
        <v>6.0999999999999999E-2</v>
      </c>
      <c r="N290" s="5">
        <v>6.0999999999999999E-2</v>
      </c>
      <c r="O290" s="5">
        <v>6.0999999999999999E-2</v>
      </c>
      <c r="P290" s="5">
        <v>6.0999999999999999E-2</v>
      </c>
    </row>
    <row r="291" spans="1:16" ht="18.75" x14ac:dyDescent="0.2">
      <c r="A291" s="33" t="s">
        <v>348</v>
      </c>
      <c r="B291" s="7" t="s">
        <v>77</v>
      </c>
      <c r="C291" s="21">
        <v>1.0999999999999999E-2</v>
      </c>
      <c r="D291" s="62">
        <v>8.0000000000000002E-3</v>
      </c>
      <c r="E291" s="62">
        <v>1E-3</v>
      </c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</row>
    <row r="292" spans="1:16" ht="37.5" x14ac:dyDescent="0.2">
      <c r="A292" s="33" t="s">
        <v>349</v>
      </c>
      <c r="B292" s="7" t="s">
        <v>77</v>
      </c>
      <c r="C292" s="24">
        <v>8.0000000000000002E-3</v>
      </c>
      <c r="D292" s="71">
        <v>8.0000000000000002E-3</v>
      </c>
      <c r="E292" s="71">
        <v>1.7999999999999999E-2</v>
      </c>
      <c r="F292" s="24">
        <v>2.5000000000000001E-2</v>
      </c>
      <c r="G292" s="24">
        <v>5.2999999999999999E-2</v>
      </c>
      <c r="H292" s="24">
        <v>5.2999999999999999E-2</v>
      </c>
      <c r="I292" s="24">
        <v>5.2999999999999999E-2</v>
      </c>
      <c r="J292" s="24">
        <v>5.2999999999999999E-2</v>
      </c>
      <c r="K292" s="24">
        <v>5.2999999999999999E-2</v>
      </c>
      <c r="L292" s="24">
        <v>5.2999999999999999E-2</v>
      </c>
      <c r="M292" s="24">
        <v>5.2999999999999999E-2</v>
      </c>
      <c r="N292" s="24">
        <v>5.2999999999999999E-2</v>
      </c>
      <c r="O292" s="24">
        <v>5.2999999999999999E-2</v>
      </c>
      <c r="P292" s="24">
        <v>5.2999999999999999E-2</v>
      </c>
    </row>
    <row r="293" spans="1:16" ht="37.5" x14ac:dyDescent="0.2">
      <c r="A293" s="33" t="s">
        <v>350</v>
      </c>
      <c r="B293" s="7" t="s">
        <v>77</v>
      </c>
      <c r="C293" s="29">
        <v>0.13400000000000001</v>
      </c>
      <c r="D293" s="74">
        <v>0.14099999999999999</v>
      </c>
      <c r="E293" s="74">
        <v>0.17199999999999999</v>
      </c>
      <c r="F293" s="28">
        <v>0.13700000000000001</v>
      </c>
      <c r="G293" s="28">
        <v>0.13900000000000001</v>
      </c>
      <c r="H293" s="28">
        <v>0.13900000000000001</v>
      </c>
      <c r="I293" s="28">
        <v>0.13900000000000001</v>
      </c>
      <c r="J293" s="28">
        <v>0.13900000000000001</v>
      </c>
      <c r="K293" s="28">
        <v>0.13900000000000001</v>
      </c>
      <c r="L293" s="28">
        <v>0.13900000000000001</v>
      </c>
      <c r="M293" s="28">
        <v>0.13900000000000001</v>
      </c>
      <c r="N293" s="28">
        <v>0.13900000000000001</v>
      </c>
      <c r="O293" s="28">
        <v>0.13900000000000001</v>
      </c>
      <c r="P293" s="28">
        <v>0.13900000000000001</v>
      </c>
    </row>
    <row r="294" spans="1:16" ht="37.5" x14ac:dyDescent="0.2">
      <c r="A294" s="33" t="s">
        <v>351</v>
      </c>
      <c r="B294" s="6" t="s">
        <v>77</v>
      </c>
      <c r="C294" s="5">
        <v>0.04</v>
      </c>
      <c r="D294" s="70">
        <v>4.8000000000000001E-2</v>
      </c>
      <c r="E294" s="70">
        <v>5.7000000000000002E-2</v>
      </c>
      <c r="F294" s="25">
        <v>0.49</v>
      </c>
      <c r="G294" s="25">
        <v>5.2999999999999999E-2</v>
      </c>
      <c r="H294" s="25">
        <v>5.2999999999999999E-2</v>
      </c>
      <c r="I294" s="25">
        <v>5.2999999999999999E-2</v>
      </c>
      <c r="J294" s="25">
        <v>5.2999999999999999E-2</v>
      </c>
      <c r="K294" s="25">
        <v>5.2999999999999999E-2</v>
      </c>
      <c r="L294" s="25">
        <v>5.2999999999999999E-2</v>
      </c>
      <c r="M294" s="25">
        <v>5.2999999999999999E-2</v>
      </c>
      <c r="N294" s="25">
        <v>5.2999999999999999E-2</v>
      </c>
      <c r="O294" s="25">
        <v>5.2999999999999999E-2</v>
      </c>
      <c r="P294" s="25">
        <v>5.2999999999999999E-2</v>
      </c>
    </row>
    <row r="295" spans="1:16" ht="37.5" x14ac:dyDescent="0.2">
      <c r="A295" s="33" t="s">
        <v>352</v>
      </c>
      <c r="B295" s="6" t="s">
        <v>77</v>
      </c>
      <c r="C295" s="23">
        <v>0.94599999999999995</v>
      </c>
      <c r="D295" s="93">
        <v>0.90800000000000003</v>
      </c>
      <c r="E295" s="93">
        <v>0.93600000000000005</v>
      </c>
      <c r="F295" s="140">
        <v>0.97099999999999997</v>
      </c>
      <c r="G295" s="140">
        <v>0.99399999999999999</v>
      </c>
      <c r="H295" s="140">
        <v>0.99399999999999999</v>
      </c>
      <c r="I295" s="140">
        <v>0.99399999999999999</v>
      </c>
      <c r="J295" s="140">
        <v>0.99399999999999999</v>
      </c>
      <c r="K295" s="140">
        <v>0.99399999999999999</v>
      </c>
      <c r="L295" s="140">
        <v>0.99399999999999999</v>
      </c>
      <c r="M295" s="140">
        <v>0.99399999999999999</v>
      </c>
      <c r="N295" s="140">
        <v>0.99399999999999999</v>
      </c>
      <c r="O295" s="140">
        <v>0.99399999999999999</v>
      </c>
      <c r="P295" s="140">
        <v>0.99399999999999999</v>
      </c>
    </row>
    <row r="296" spans="1:16" ht="18.75" x14ac:dyDescent="0.2">
      <c r="A296" s="33" t="s">
        <v>353</v>
      </c>
      <c r="B296" s="6" t="s">
        <v>77</v>
      </c>
      <c r="C296" s="29">
        <v>1.4259999999999999</v>
      </c>
      <c r="D296" s="65">
        <v>1.421</v>
      </c>
      <c r="E296" s="65">
        <v>1.4610000000000001</v>
      </c>
      <c r="F296" s="29">
        <v>1.504</v>
      </c>
      <c r="G296" s="29">
        <v>1.508</v>
      </c>
      <c r="H296" s="29">
        <v>1.508</v>
      </c>
      <c r="I296" s="29">
        <v>1.508</v>
      </c>
      <c r="J296" s="29">
        <v>1.508</v>
      </c>
      <c r="K296" s="29">
        <v>1.508</v>
      </c>
      <c r="L296" s="29">
        <v>1.508</v>
      </c>
      <c r="M296" s="29">
        <v>1.508</v>
      </c>
      <c r="N296" s="29">
        <v>1.508</v>
      </c>
      <c r="O296" s="29">
        <v>1.508</v>
      </c>
      <c r="P296" s="29">
        <v>1.508</v>
      </c>
    </row>
    <row r="297" spans="1:16" ht="37.5" x14ac:dyDescent="0.2">
      <c r="A297" s="33" t="s">
        <v>354</v>
      </c>
      <c r="B297" s="6" t="s">
        <v>77</v>
      </c>
      <c r="C297" s="29">
        <v>0.42</v>
      </c>
      <c r="D297" s="65">
        <v>0.42</v>
      </c>
      <c r="E297" s="65">
        <v>0.41599999999999998</v>
      </c>
      <c r="F297" s="29">
        <v>0.28000000000000003</v>
      </c>
      <c r="G297" s="29">
        <v>0.48199999999999998</v>
      </c>
      <c r="H297" s="29">
        <v>0.48199999999999998</v>
      </c>
      <c r="I297" s="29">
        <v>0.48199999999999998</v>
      </c>
      <c r="J297" s="29">
        <v>0.48199999999999998</v>
      </c>
      <c r="K297" s="29">
        <v>0.48199999999999998</v>
      </c>
      <c r="L297" s="29">
        <v>0.48199999999999998</v>
      </c>
      <c r="M297" s="29">
        <v>0.48199999999999998</v>
      </c>
      <c r="N297" s="29">
        <v>0.48199999999999998</v>
      </c>
      <c r="O297" s="29">
        <v>0.48199999999999998</v>
      </c>
      <c r="P297" s="29">
        <v>0.48199999999999998</v>
      </c>
    </row>
    <row r="298" spans="1:16" ht="37.5" x14ac:dyDescent="0.2">
      <c r="A298" s="33" t="s">
        <v>355</v>
      </c>
      <c r="B298" s="6" t="s">
        <v>77</v>
      </c>
      <c r="C298" s="29">
        <v>0.15</v>
      </c>
      <c r="D298" s="65">
        <v>0.155</v>
      </c>
      <c r="E298" s="65">
        <v>0.159</v>
      </c>
      <c r="F298" s="29">
        <v>0.26900000000000002</v>
      </c>
      <c r="G298" s="29">
        <v>0.23499999999999999</v>
      </c>
      <c r="H298" s="29">
        <v>0.23499999999999999</v>
      </c>
      <c r="I298" s="29">
        <v>0.23499999999999999</v>
      </c>
      <c r="J298" s="29">
        <v>0.23499999999999999</v>
      </c>
      <c r="K298" s="29">
        <v>0.23499999999999999</v>
      </c>
      <c r="L298" s="29">
        <v>0.23499999999999999</v>
      </c>
      <c r="M298" s="29">
        <v>0.23499999999999999</v>
      </c>
      <c r="N298" s="29">
        <v>0.23499999999999999</v>
      </c>
      <c r="O298" s="29">
        <v>0.23499999999999999</v>
      </c>
      <c r="P298" s="29">
        <v>0.23499999999999999</v>
      </c>
    </row>
    <row r="299" spans="1:16" ht="18.75" x14ac:dyDescent="0.2">
      <c r="A299" s="33" t="s">
        <v>356</v>
      </c>
      <c r="B299" s="6" t="s">
        <v>77</v>
      </c>
      <c r="C299" s="29">
        <v>0.2</v>
      </c>
      <c r="D299" s="65">
        <v>0.21</v>
      </c>
      <c r="E299" s="65">
        <v>0.48099999999999998</v>
      </c>
      <c r="F299" s="29">
        <v>0.36</v>
      </c>
      <c r="G299" s="29">
        <v>1.224</v>
      </c>
      <c r="H299" s="29">
        <v>1.224</v>
      </c>
      <c r="I299" s="29">
        <v>1.224</v>
      </c>
      <c r="J299" s="29">
        <v>1.224</v>
      </c>
      <c r="K299" s="29">
        <v>1.224</v>
      </c>
      <c r="L299" s="29">
        <v>1.224</v>
      </c>
      <c r="M299" s="29">
        <v>1.224</v>
      </c>
      <c r="N299" s="29">
        <v>1.224</v>
      </c>
      <c r="O299" s="29">
        <v>1.224</v>
      </c>
      <c r="P299" s="29">
        <v>1.224</v>
      </c>
    </row>
    <row r="300" spans="1:16" ht="60" customHeight="1" x14ac:dyDescent="0.2">
      <c r="A300" s="60" t="s">
        <v>334</v>
      </c>
      <c r="B300" s="6" t="s">
        <v>77</v>
      </c>
      <c r="C300" s="43">
        <v>5.17</v>
      </c>
      <c r="D300" s="94">
        <v>5.1870000000000003</v>
      </c>
      <c r="E300" s="94">
        <v>4.2939999999999996</v>
      </c>
      <c r="F300" s="141">
        <v>4.1230000000000002</v>
      </c>
      <c r="G300" s="141">
        <v>5.0449999999999999</v>
      </c>
      <c r="H300" s="141">
        <v>5.0449999999999999</v>
      </c>
      <c r="I300" s="141">
        <v>5.0449999999999999</v>
      </c>
      <c r="J300" s="141">
        <v>5.0449999999999999</v>
      </c>
      <c r="K300" s="141">
        <v>5.0449999999999999</v>
      </c>
      <c r="L300" s="141">
        <v>5.0449999999999999</v>
      </c>
      <c r="M300" s="141">
        <v>5.0449999999999999</v>
      </c>
      <c r="N300" s="141">
        <v>5.0449999999999999</v>
      </c>
      <c r="O300" s="141">
        <v>5.0449999999999999</v>
      </c>
      <c r="P300" s="141">
        <v>5.0449999999999999</v>
      </c>
    </row>
    <row r="301" spans="1:16" ht="56.25" x14ac:dyDescent="0.2">
      <c r="A301" s="33" t="s">
        <v>357</v>
      </c>
      <c r="B301" s="6" t="s">
        <v>77</v>
      </c>
      <c r="C301" s="29">
        <v>0.33500000000000002</v>
      </c>
      <c r="D301" s="108">
        <v>3.7999999999999999E-2</v>
      </c>
      <c r="E301" s="108">
        <v>8.0000000000000002E-3</v>
      </c>
      <c r="F301" s="123">
        <v>7.1999999999999995E-2</v>
      </c>
      <c r="G301" s="123">
        <v>2.1999999999999999E-2</v>
      </c>
      <c r="H301" s="123">
        <v>2.1999999999999999E-2</v>
      </c>
      <c r="I301" s="123">
        <v>2.1999999999999999E-2</v>
      </c>
      <c r="J301" s="123">
        <v>2.1999999999999999E-2</v>
      </c>
      <c r="K301" s="123">
        <v>2.1999999999999999E-2</v>
      </c>
      <c r="L301" s="123">
        <v>2.1999999999999999E-2</v>
      </c>
      <c r="M301" s="123">
        <v>2.1999999999999999E-2</v>
      </c>
      <c r="N301" s="123">
        <v>2.1999999999999999E-2</v>
      </c>
      <c r="O301" s="123">
        <v>2.1999999999999999E-2</v>
      </c>
      <c r="P301" s="123">
        <v>2.1999999999999999E-2</v>
      </c>
    </row>
    <row r="302" spans="1:16" ht="37.5" x14ac:dyDescent="0.2">
      <c r="A302" s="105" t="s">
        <v>358</v>
      </c>
      <c r="B302" s="6" t="s">
        <v>77</v>
      </c>
      <c r="C302" s="5">
        <v>0.2</v>
      </c>
      <c r="D302" s="108">
        <f>D310/1000</f>
        <v>0.76400000000000001</v>
      </c>
      <c r="E302" s="108">
        <f t="shared" ref="E302:F302" si="48">E310/1000</f>
        <v>0.28499999999999998</v>
      </c>
      <c r="F302" s="123">
        <f t="shared" si="48"/>
        <v>0.21</v>
      </c>
      <c r="G302" s="123">
        <f>G310/1000</f>
        <v>0.129</v>
      </c>
      <c r="H302" s="123">
        <f>H310/1000</f>
        <v>0.155</v>
      </c>
      <c r="I302" s="123">
        <f t="shared" ref="I302:P302" si="49">I310/1000</f>
        <v>0.155</v>
      </c>
      <c r="J302" s="123">
        <f t="shared" si="49"/>
        <v>0.155</v>
      </c>
      <c r="K302" s="123">
        <f t="shared" si="49"/>
        <v>0.155</v>
      </c>
      <c r="L302" s="123">
        <f t="shared" si="49"/>
        <v>0.155</v>
      </c>
      <c r="M302" s="123">
        <f t="shared" si="49"/>
        <v>0.155</v>
      </c>
      <c r="N302" s="123">
        <f t="shared" si="49"/>
        <v>0.155</v>
      </c>
      <c r="O302" s="123">
        <f t="shared" si="49"/>
        <v>0.155</v>
      </c>
      <c r="P302" s="123">
        <f t="shared" si="49"/>
        <v>0.155</v>
      </c>
    </row>
    <row r="303" spans="1:16" ht="45" customHeight="1" x14ac:dyDescent="0.2">
      <c r="A303" s="33" t="s">
        <v>359</v>
      </c>
      <c r="B303" s="6" t="s">
        <v>77</v>
      </c>
      <c r="C303" s="29">
        <f t="shared" ref="C303:E303" si="50">C300-C301-C302</f>
        <v>4.6349999999999998</v>
      </c>
      <c r="D303" s="108">
        <f t="shared" si="50"/>
        <v>4.3849999999999998</v>
      </c>
      <c r="E303" s="108">
        <f t="shared" si="50"/>
        <v>4.0009999999999994</v>
      </c>
      <c r="F303" s="123">
        <f>F300-F301-F302</f>
        <v>3.8410000000000002</v>
      </c>
      <c r="G303" s="123">
        <f>G300-G301-G302</f>
        <v>4.8940000000000001</v>
      </c>
      <c r="H303" s="123">
        <f>H300-H301-H302</f>
        <v>4.8679999999999994</v>
      </c>
      <c r="I303" s="123">
        <f t="shared" ref="I303:P303" si="51">I300-I301-I302</f>
        <v>4.8679999999999994</v>
      </c>
      <c r="J303" s="123">
        <f>J300-J301-J302</f>
        <v>4.8679999999999994</v>
      </c>
      <c r="K303" s="123">
        <f t="shared" si="51"/>
        <v>4.8679999999999994</v>
      </c>
      <c r="L303" s="123">
        <f t="shared" si="51"/>
        <v>4.8679999999999994</v>
      </c>
      <c r="M303" s="123">
        <f t="shared" si="51"/>
        <v>4.8679999999999994</v>
      </c>
      <c r="N303" s="123">
        <f t="shared" si="51"/>
        <v>4.8679999999999994</v>
      </c>
      <c r="O303" s="123">
        <f t="shared" si="51"/>
        <v>4.8679999999999994</v>
      </c>
      <c r="P303" s="123">
        <f t="shared" si="51"/>
        <v>4.8679999999999994</v>
      </c>
    </row>
    <row r="304" spans="1:16" ht="60.75" customHeight="1" x14ac:dyDescent="0.2">
      <c r="A304" s="12" t="s">
        <v>360</v>
      </c>
      <c r="B304" s="26" t="s">
        <v>320</v>
      </c>
      <c r="C304" s="43">
        <v>39156.53</v>
      </c>
      <c r="D304" s="64">
        <f>D313/D312/12</f>
        <v>43469.907407407409</v>
      </c>
      <c r="E304" s="67">
        <f t="shared" ref="E304:P304" si="52">E313/E312/12</f>
        <v>44238.683127572025</v>
      </c>
      <c r="F304" s="44">
        <f>F313/F312/12</f>
        <v>48189.873417721516</v>
      </c>
      <c r="G304" s="44">
        <f>G313/G312/12</f>
        <v>53560.515873015866</v>
      </c>
      <c r="H304" s="44">
        <f>H313/H312/12</f>
        <v>57748.039215686273</v>
      </c>
      <c r="I304" s="44">
        <f t="shared" si="52"/>
        <v>60526.666666666664</v>
      </c>
      <c r="J304" s="44">
        <f t="shared" si="52"/>
        <v>61817.647058823532</v>
      </c>
      <c r="K304" s="44">
        <f t="shared" si="52"/>
        <v>0</v>
      </c>
      <c r="L304" s="44">
        <f t="shared" si="52"/>
        <v>64875.196078431378</v>
      </c>
      <c r="M304" s="44">
        <f t="shared" si="52"/>
        <v>65499.019607843133</v>
      </c>
      <c r="N304" s="44">
        <f t="shared" si="52"/>
        <v>0</v>
      </c>
      <c r="O304" s="44">
        <f t="shared" si="52"/>
        <v>68543.72549019607</v>
      </c>
      <c r="P304" s="44">
        <f t="shared" si="52"/>
        <v>69424.509803921566</v>
      </c>
    </row>
    <row r="305" spans="1:19" ht="56.25" x14ac:dyDescent="0.2">
      <c r="A305" s="17" t="s">
        <v>361</v>
      </c>
      <c r="B305" s="26" t="s">
        <v>363</v>
      </c>
      <c r="C305" s="29">
        <v>116.8</v>
      </c>
      <c r="D305" s="65">
        <f t="shared" ref="D305:I305" si="53">D304/C304*100</f>
        <v>111.0157294515306</v>
      </c>
      <c r="E305" s="65">
        <f t="shared" si="53"/>
        <v>101.76852394222864</v>
      </c>
      <c r="F305" s="29">
        <f t="shared" si="53"/>
        <v>108.93152781866348</v>
      </c>
      <c r="G305" s="29">
        <f t="shared" si="53"/>
        <v>111.14475319065546</v>
      </c>
      <c r="H305" s="29">
        <f t="shared" si="53"/>
        <v>107.81830285690006</v>
      </c>
      <c r="I305" s="29">
        <f t="shared" si="53"/>
        <v>104.81163947506917</v>
      </c>
      <c r="J305" s="29">
        <f>J304/H304*100</f>
        <v>107.04717926081864</v>
      </c>
      <c r="K305" s="29"/>
      <c r="L305" s="29">
        <f>L304/I304*100</f>
        <v>107.18448520503037</v>
      </c>
      <c r="M305" s="29">
        <f>M304/J304*100</f>
        <v>105.95521299203855</v>
      </c>
      <c r="N305" s="29"/>
      <c r="O305" s="29">
        <f>O304/L304*100</f>
        <v>105.65474886169068</v>
      </c>
      <c r="P305" s="29">
        <f>P304/M304*100</f>
        <v>105.99320450837462</v>
      </c>
      <c r="R305" s="9" t="s">
        <v>92</v>
      </c>
    </row>
    <row r="306" spans="1:19" ht="37.5" x14ac:dyDescent="0.2">
      <c r="A306" s="16" t="s">
        <v>362</v>
      </c>
      <c r="B306" s="26" t="s">
        <v>363</v>
      </c>
      <c r="C306" s="5">
        <f>C305/105.9</f>
        <v>1.1029272898961284</v>
      </c>
      <c r="D306" s="66">
        <f>D305/103.2</f>
        <v>1.0757338125148315</v>
      </c>
      <c r="E306" s="63">
        <f>E305/106.4</f>
        <v>0.95647108968259997</v>
      </c>
      <c r="F306" s="21">
        <f>F305/119.6</f>
        <v>0.91079872758079838</v>
      </c>
      <c r="G306" s="21">
        <f>G305/105.2</f>
        <v>1.0565090607476755</v>
      </c>
      <c r="H306" s="21">
        <f>H305/106.8</f>
        <v>1.0095346709447572</v>
      </c>
      <c r="I306" s="21">
        <f>I305/104.6</f>
        <v>1.0020233219413879</v>
      </c>
      <c r="J306" s="21">
        <f>J305/104.6</f>
        <v>1.0233955952277116</v>
      </c>
      <c r="K306" s="21"/>
      <c r="L306" s="21">
        <f>L305/104</f>
        <v>1.0306200500483689</v>
      </c>
      <c r="M306" s="21">
        <f>M305/104</f>
        <v>1.0188001249234477</v>
      </c>
      <c r="N306" s="21"/>
      <c r="O306" s="21">
        <f>O305/103.9</f>
        <v>1.0168888244628553</v>
      </c>
      <c r="P306" s="21">
        <f>P305/103.9</f>
        <v>1.0201463379054341</v>
      </c>
    </row>
    <row r="307" spans="1:19" ht="37.5" x14ac:dyDescent="0.2">
      <c r="A307" s="106" t="s">
        <v>364</v>
      </c>
      <c r="B307" s="122" t="s">
        <v>365</v>
      </c>
      <c r="C307" s="5">
        <v>13.2</v>
      </c>
      <c r="D307" s="66">
        <f t="shared" ref="D307:I307" si="54">D309/D273*100/1000</f>
        <v>11.142602214874298</v>
      </c>
      <c r="E307" s="66">
        <f t="shared" si="54"/>
        <v>3.8096777670007547</v>
      </c>
      <c r="F307" s="29">
        <f t="shared" si="54"/>
        <v>5.9862857142857147</v>
      </c>
      <c r="G307" s="29">
        <f>G309/G273*100/1000</f>
        <v>4.6097674418604653</v>
      </c>
      <c r="H307" s="5">
        <f t="shared" si="54"/>
        <v>4.072258064516129</v>
      </c>
      <c r="I307" s="5">
        <f t="shared" si="54"/>
        <v>4.072258064516129</v>
      </c>
      <c r="J307" s="5">
        <f t="shared" ref="J307:P307" si="55">J309/J273*100/1000</f>
        <v>4.072258064516129</v>
      </c>
      <c r="K307" s="5">
        <f t="shared" si="55"/>
        <v>4.072258064516129</v>
      </c>
      <c r="L307" s="5">
        <f t="shared" si="55"/>
        <v>4.072258064516129</v>
      </c>
      <c r="M307" s="29">
        <f t="shared" si="55"/>
        <v>4.072258064516129</v>
      </c>
      <c r="N307" s="5">
        <f t="shared" si="55"/>
        <v>4.072258064516129</v>
      </c>
      <c r="O307" s="5">
        <f t="shared" si="55"/>
        <v>4.5883870967741931</v>
      </c>
      <c r="P307" s="29">
        <f t="shared" si="55"/>
        <v>4.5883870967741931</v>
      </c>
      <c r="Q307" s="103"/>
    </row>
    <row r="308" spans="1:19" ht="37.5" x14ac:dyDescent="0.2">
      <c r="A308" s="106" t="s">
        <v>93</v>
      </c>
      <c r="B308" s="26" t="s">
        <v>67</v>
      </c>
      <c r="C308" s="5">
        <v>1.1000000000000001</v>
      </c>
      <c r="D308" s="95">
        <v>4</v>
      </c>
      <c r="E308" s="112">
        <v>1.53</v>
      </c>
      <c r="F308" s="142">
        <v>1.08</v>
      </c>
      <c r="G308" s="142">
        <v>0.66</v>
      </c>
      <c r="H308" s="142">
        <v>0.8</v>
      </c>
      <c r="I308" s="142">
        <v>0.8</v>
      </c>
      <c r="J308" s="142">
        <v>0.8</v>
      </c>
      <c r="K308" s="142">
        <v>0.8</v>
      </c>
      <c r="L308" s="142">
        <v>0.8</v>
      </c>
      <c r="M308" s="142">
        <v>0.8</v>
      </c>
      <c r="N308" s="142">
        <v>0.8</v>
      </c>
      <c r="O308" s="142">
        <v>0.8</v>
      </c>
      <c r="P308" s="142">
        <v>0.8</v>
      </c>
    </row>
    <row r="309" spans="1:19" ht="18.75" x14ac:dyDescent="0.2">
      <c r="A309" s="106" t="s">
        <v>94</v>
      </c>
      <c r="B309" s="26" t="s">
        <v>366</v>
      </c>
      <c r="C309" s="23">
        <v>2580</v>
      </c>
      <c r="D309" s="96">
        <v>2123</v>
      </c>
      <c r="E309" s="96">
        <v>707</v>
      </c>
      <c r="F309" s="26">
        <v>1164</v>
      </c>
      <c r="G309" s="26">
        <v>901</v>
      </c>
      <c r="H309" s="26">
        <v>789</v>
      </c>
      <c r="I309" s="26">
        <v>789</v>
      </c>
      <c r="J309" s="26">
        <v>789</v>
      </c>
      <c r="K309" s="26">
        <v>789</v>
      </c>
      <c r="L309" s="26">
        <v>789</v>
      </c>
      <c r="M309" s="26">
        <v>789</v>
      </c>
      <c r="N309" s="26">
        <v>789</v>
      </c>
      <c r="O309" s="26">
        <v>889</v>
      </c>
      <c r="P309" s="26">
        <v>889</v>
      </c>
    </row>
    <row r="310" spans="1:19" ht="56.25" x14ac:dyDescent="0.2">
      <c r="A310" s="106" t="s">
        <v>95</v>
      </c>
      <c r="B310" s="26" t="s">
        <v>366</v>
      </c>
      <c r="C310" s="23">
        <v>206</v>
      </c>
      <c r="D310" s="96">
        <v>764</v>
      </c>
      <c r="E310" s="96">
        <v>285</v>
      </c>
      <c r="F310" s="26">
        <v>210</v>
      </c>
      <c r="G310" s="26">
        <v>129</v>
      </c>
      <c r="H310" s="26">
        <v>155</v>
      </c>
      <c r="I310" s="26">
        <v>155</v>
      </c>
      <c r="J310" s="26">
        <v>155</v>
      </c>
      <c r="K310" s="26">
        <v>155</v>
      </c>
      <c r="L310" s="26">
        <v>155</v>
      </c>
      <c r="M310" s="26">
        <v>155</v>
      </c>
      <c r="N310" s="26">
        <v>155</v>
      </c>
      <c r="O310" s="26">
        <v>155</v>
      </c>
      <c r="P310" s="26">
        <v>155</v>
      </c>
    </row>
    <row r="311" spans="1:19" ht="104.25" customHeight="1" x14ac:dyDescent="0.2">
      <c r="A311" s="107" t="s">
        <v>96</v>
      </c>
      <c r="B311" s="26" t="s">
        <v>366</v>
      </c>
      <c r="C311" s="29">
        <v>2</v>
      </c>
      <c r="D311" s="96">
        <v>5.6</v>
      </c>
      <c r="E311" s="96">
        <v>1.4</v>
      </c>
      <c r="F311" s="143">
        <v>1</v>
      </c>
      <c r="G311" s="26">
        <v>0.6</v>
      </c>
      <c r="H311" s="26">
        <v>0.6</v>
      </c>
      <c r="I311" s="26">
        <v>0.6</v>
      </c>
      <c r="J311" s="26">
        <v>0.6</v>
      </c>
      <c r="K311" s="26">
        <v>0.6</v>
      </c>
      <c r="L311" s="26">
        <v>0.6</v>
      </c>
      <c r="M311" s="26">
        <v>0.6</v>
      </c>
      <c r="N311" s="26">
        <v>0.6</v>
      </c>
      <c r="O311" s="26">
        <v>0.6</v>
      </c>
      <c r="P311" s="26">
        <v>0.6</v>
      </c>
    </row>
    <row r="312" spans="1:19" ht="49.5" customHeight="1" x14ac:dyDescent="0.2">
      <c r="A312" s="17" t="s">
        <v>123</v>
      </c>
      <c r="B312" s="26" t="s">
        <v>77</v>
      </c>
      <c r="C312" s="44">
        <v>7.4</v>
      </c>
      <c r="D312" s="97">
        <v>7.2</v>
      </c>
      <c r="E312" s="96">
        <v>8.1</v>
      </c>
      <c r="F312" s="26">
        <v>7.9</v>
      </c>
      <c r="G312" s="143">
        <v>8.4</v>
      </c>
      <c r="H312" s="143">
        <v>8.5</v>
      </c>
      <c r="I312" s="26">
        <v>8.5</v>
      </c>
      <c r="J312" s="26">
        <v>8.5</v>
      </c>
      <c r="K312" s="26">
        <v>8.5</v>
      </c>
      <c r="L312" s="26">
        <v>8.5</v>
      </c>
      <c r="M312" s="26">
        <v>8.5</v>
      </c>
      <c r="N312" s="26">
        <v>8.5</v>
      </c>
      <c r="O312" s="26">
        <v>8.5</v>
      </c>
      <c r="P312" s="26">
        <v>8.5</v>
      </c>
    </row>
    <row r="313" spans="1:19" ht="43.5" customHeight="1" x14ac:dyDescent="0.2">
      <c r="A313" s="10" t="s">
        <v>97</v>
      </c>
      <c r="B313" s="26" t="s">
        <v>49</v>
      </c>
      <c r="C313" s="44">
        <v>3477100</v>
      </c>
      <c r="D313" s="97">
        <v>3755800</v>
      </c>
      <c r="E313" s="114">
        <v>4300000</v>
      </c>
      <c r="F313" s="118">
        <v>4568400</v>
      </c>
      <c r="G313" s="118">
        <v>5398900</v>
      </c>
      <c r="H313" s="118">
        <v>5890300</v>
      </c>
      <c r="I313" s="118">
        <v>6173720</v>
      </c>
      <c r="J313" s="118">
        <v>6305400</v>
      </c>
      <c r="K313" s="118"/>
      <c r="L313" s="118">
        <v>6617270</v>
      </c>
      <c r="M313" s="118">
        <v>6680900</v>
      </c>
      <c r="N313" s="118"/>
      <c r="O313" s="118">
        <v>6991460</v>
      </c>
      <c r="P313" s="118">
        <v>7081300</v>
      </c>
    </row>
    <row r="314" spans="1:19" ht="37.5" x14ac:dyDescent="0.2">
      <c r="A314" s="16" t="s">
        <v>319</v>
      </c>
      <c r="B314" s="26" t="s">
        <v>363</v>
      </c>
      <c r="C314" s="29">
        <v>113.7</v>
      </c>
      <c r="D314" s="95">
        <f t="shared" ref="D314:I314" si="56">D313/C313*100</f>
        <v>108.01530010641052</v>
      </c>
      <c r="E314" s="95">
        <f t="shared" si="56"/>
        <v>114.4895894350072</v>
      </c>
      <c r="F314" s="143">
        <f t="shared" si="56"/>
        <v>106.24186046511628</v>
      </c>
      <c r="G314" s="143">
        <f t="shared" si="56"/>
        <v>118.17923124069696</v>
      </c>
      <c r="H314" s="143">
        <f t="shared" si="56"/>
        <v>109.10185408138695</v>
      </c>
      <c r="I314" s="143">
        <f t="shared" si="56"/>
        <v>104.81163947506917</v>
      </c>
      <c r="J314" s="143">
        <f>J313/H313*100</f>
        <v>107.04717926081864</v>
      </c>
      <c r="K314" s="26"/>
      <c r="L314" s="143">
        <f>L313/I313*100</f>
        <v>107.18448520503034</v>
      </c>
      <c r="M314" s="143">
        <f>M313/J313*100</f>
        <v>105.95521299203855</v>
      </c>
      <c r="N314" s="26"/>
      <c r="O314" s="143">
        <f>O313/L313*100</f>
        <v>105.65474886169071</v>
      </c>
      <c r="P314" s="143">
        <f>P313/M313*100</f>
        <v>105.99320450837462</v>
      </c>
    </row>
    <row r="315" spans="1:19" ht="18.75" x14ac:dyDescent="0.2">
      <c r="A315" s="12" t="s">
        <v>311</v>
      </c>
      <c r="B315" s="19"/>
      <c r="C315" s="55"/>
      <c r="D315" s="98"/>
      <c r="E315" s="98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9" ht="37.5" x14ac:dyDescent="0.3">
      <c r="A316" s="17" t="s">
        <v>98</v>
      </c>
      <c r="B316" s="26" t="s">
        <v>366</v>
      </c>
      <c r="C316" s="56">
        <v>2396</v>
      </c>
      <c r="D316" s="99">
        <v>2289</v>
      </c>
      <c r="E316" s="99">
        <v>2281</v>
      </c>
      <c r="F316" s="56">
        <v>2216</v>
      </c>
      <c r="G316" s="56">
        <v>2076</v>
      </c>
      <c r="H316" s="56">
        <v>2050</v>
      </c>
      <c r="I316" s="56">
        <v>2042</v>
      </c>
      <c r="J316" s="56">
        <v>2042</v>
      </c>
      <c r="K316" s="56"/>
      <c r="L316" s="56">
        <v>2036</v>
      </c>
      <c r="M316" s="56">
        <v>2036</v>
      </c>
      <c r="N316" s="56"/>
      <c r="O316" s="56">
        <v>2030</v>
      </c>
      <c r="P316" s="56">
        <v>2030</v>
      </c>
      <c r="S316" s="103"/>
    </row>
    <row r="317" spans="1:19" ht="75" x14ac:dyDescent="0.3">
      <c r="A317" s="17" t="s">
        <v>99</v>
      </c>
      <c r="B317" s="26" t="s">
        <v>366</v>
      </c>
      <c r="C317" s="56">
        <v>5248</v>
      </c>
      <c r="D317" s="99">
        <v>5417</v>
      </c>
      <c r="E317" s="99">
        <v>5576</v>
      </c>
      <c r="F317" s="56">
        <v>5820</v>
      </c>
      <c r="G317" s="56">
        <v>5993</v>
      </c>
      <c r="H317" s="56">
        <v>5991</v>
      </c>
      <c r="I317" s="56">
        <v>6100</v>
      </c>
      <c r="J317" s="56">
        <v>6100</v>
      </c>
      <c r="K317" s="56"/>
      <c r="L317" s="56">
        <v>6150</v>
      </c>
      <c r="M317" s="56">
        <v>6150</v>
      </c>
      <c r="N317" s="56"/>
      <c r="O317" s="56">
        <v>6150</v>
      </c>
      <c r="P317" s="56">
        <v>6150</v>
      </c>
    </row>
    <row r="318" spans="1:19" ht="56.25" x14ac:dyDescent="0.3">
      <c r="A318" s="17" t="s">
        <v>100</v>
      </c>
      <c r="B318" s="26" t="s">
        <v>366</v>
      </c>
      <c r="C318" s="56"/>
      <c r="D318" s="99"/>
      <c r="E318" s="99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</row>
    <row r="319" spans="1:19" ht="56.25" x14ac:dyDescent="0.3">
      <c r="A319" s="17" t="s">
        <v>101</v>
      </c>
      <c r="B319" s="26" t="s">
        <v>366</v>
      </c>
      <c r="C319" s="56">
        <v>200</v>
      </c>
      <c r="D319" s="99">
        <v>314</v>
      </c>
      <c r="E319" s="99">
        <v>315</v>
      </c>
      <c r="F319" s="56">
        <v>350</v>
      </c>
      <c r="G319" s="56">
        <v>307</v>
      </c>
      <c r="H319" s="56">
        <v>360</v>
      </c>
      <c r="I319" s="56">
        <v>360</v>
      </c>
      <c r="J319" s="56">
        <v>360</v>
      </c>
      <c r="K319" s="56"/>
      <c r="L319" s="56">
        <v>390</v>
      </c>
      <c r="M319" s="56">
        <v>390</v>
      </c>
      <c r="N319" s="56"/>
      <c r="O319" s="56">
        <v>390</v>
      </c>
      <c r="P319" s="56">
        <v>390</v>
      </c>
    </row>
    <row r="320" spans="1:19" ht="56.25" x14ac:dyDescent="0.3">
      <c r="A320" s="17" t="s">
        <v>102</v>
      </c>
      <c r="B320" s="26" t="s">
        <v>366</v>
      </c>
      <c r="C320" s="56"/>
      <c r="D320" s="99"/>
      <c r="E320" s="99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</row>
    <row r="321" spans="1:16" ht="18.75" x14ac:dyDescent="0.3">
      <c r="A321" s="10" t="s">
        <v>103</v>
      </c>
      <c r="B321" s="19"/>
      <c r="C321" s="57"/>
      <c r="D321" s="99"/>
      <c r="E321" s="99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</row>
    <row r="322" spans="1:16" ht="56.25" x14ac:dyDescent="0.3">
      <c r="A322" s="17" t="s">
        <v>104</v>
      </c>
      <c r="B322" s="26" t="s">
        <v>366</v>
      </c>
      <c r="C322" s="56">
        <v>200</v>
      </c>
      <c r="D322" s="99">
        <v>75</v>
      </c>
      <c r="E322" s="99">
        <v>105</v>
      </c>
      <c r="F322" s="56">
        <v>127</v>
      </c>
      <c r="G322" s="56">
        <v>84</v>
      </c>
      <c r="H322" s="56">
        <v>80</v>
      </c>
      <c r="I322" s="56">
        <v>80</v>
      </c>
      <c r="J322" s="56">
        <v>80</v>
      </c>
      <c r="K322" s="56"/>
      <c r="L322" s="56">
        <v>90</v>
      </c>
      <c r="M322" s="56">
        <v>90</v>
      </c>
      <c r="N322" s="56"/>
      <c r="O322" s="56">
        <v>90</v>
      </c>
      <c r="P322" s="56">
        <v>90</v>
      </c>
    </row>
    <row r="323" spans="1:16" ht="56.25" x14ac:dyDescent="0.3">
      <c r="A323" s="17" t="s">
        <v>105</v>
      </c>
      <c r="B323" s="26" t="s">
        <v>366</v>
      </c>
      <c r="C323" s="56"/>
      <c r="D323" s="99"/>
      <c r="E323" s="99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</row>
    <row r="324" spans="1:16" ht="18.75" x14ac:dyDescent="0.3">
      <c r="A324" s="10" t="s">
        <v>106</v>
      </c>
      <c r="B324" s="19"/>
      <c r="C324" s="58"/>
      <c r="D324" s="100"/>
      <c r="E324" s="100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</row>
    <row r="325" spans="1:16" ht="18.75" x14ac:dyDescent="0.3">
      <c r="A325" s="16" t="s">
        <v>107</v>
      </c>
      <c r="B325" s="19"/>
      <c r="C325" s="58"/>
      <c r="D325" s="100"/>
      <c r="E325" s="100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</row>
    <row r="326" spans="1:16" ht="37.5" x14ac:dyDescent="0.3">
      <c r="A326" s="16" t="s">
        <v>108</v>
      </c>
      <c r="B326" s="4" t="s">
        <v>109</v>
      </c>
      <c r="C326" s="58">
        <v>27.6</v>
      </c>
      <c r="D326" s="100">
        <v>22.4</v>
      </c>
      <c r="E326" s="100">
        <v>19.899999999999999</v>
      </c>
      <c r="F326" s="58">
        <v>17.3</v>
      </c>
      <c r="G326" s="58">
        <v>18.3</v>
      </c>
      <c r="H326" s="58">
        <v>18.3</v>
      </c>
      <c r="I326" s="58">
        <v>19.8</v>
      </c>
      <c r="J326" s="58">
        <v>19.8</v>
      </c>
      <c r="K326" s="58"/>
      <c r="L326" s="58">
        <v>22.5</v>
      </c>
      <c r="M326" s="58">
        <v>22.5</v>
      </c>
      <c r="N326" s="58"/>
      <c r="O326" s="58">
        <v>22.5</v>
      </c>
      <c r="P326" s="58">
        <v>22.5</v>
      </c>
    </row>
    <row r="327" spans="1:16" ht="75" x14ac:dyDescent="0.3">
      <c r="A327" s="16" t="s">
        <v>110</v>
      </c>
      <c r="B327" s="4" t="s">
        <v>111</v>
      </c>
      <c r="C327" s="59">
        <v>98.3</v>
      </c>
      <c r="D327" s="100">
        <v>60.5</v>
      </c>
      <c r="E327" s="100">
        <v>60.8</v>
      </c>
      <c r="F327" s="58">
        <v>52.7</v>
      </c>
      <c r="G327" s="58">
        <v>53.5</v>
      </c>
      <c r="H327" s="144">
        <v>54</v>
      </c>
      <c r="I327" s="58">
        <v>54.1</v>
      </c>
      <c r="J327" s="58">
        <v>54.1</v>
      </c>
      <c r="K327" s="58"/>
      <c r="L327" s="58">
        <v>54.2</v>
      </c>
      <c r="M327" s="58">
        <v>54.2</v>
      </c>
      <c r="N327" s="58"/>
      <c r="O327" s="58">
        <v>54.1</v>
      </c>
      <c r="P327" s="58">
        <v>54.1</v>
      </c>
    </row>
    <row r="328" spans="1:16" ht="75" x14ac:dyDescent="0.3">
      <c r="A328" s="16" t="s">
        <v>112</v>
      </c>
      <c r="B328" s="4" t="s">
        <v>111</v>
      </c>
      <c r="C328" s="59">
        <v>61</v>
      </c>
      <c r="D328" s="100">
        <v>72.5</v>
      </c>
      <c r="E328" s="100">
        <v>73</v>
      </c>
      <c r="F328" s="58">
        <v>63.3</v>
      </c>
      <c r="G328" s="58">
        <v>64.2</v>
      </c>
      <c r="H328" s="58">
        <v>64.8</v>
      </c>
      <c r="I328" s="58">
        <v>65</v>
      </c>
      <c r="J328" s="58">
        <v>65</v>
      </c>
      <c r="K328" s="58"/>
      <c r="L328" s="58">
        <v>65</v>
      </c>
      <c r="M328" s="58">
        <v>65</v>
      </c>
      <c r="N328" s="58"/>
      <c r="O328" s="58">
        <v>67.099999999999994</v>
      </c>
      <c r="P328" s="58">
        <v>67.099999999999994</v>
      </c>
    </row>
    <row r="329" spans="1:16" ht="75" x14ac:dyDescent="0.3">
      <c r="A329" s="16" t="s">
        <v>113</v>
      </c>
      <c r="B329" s="4" t="s">
        <v>134</v>
      </c>
      <c r="C329" s="59">
        <v>918</v>
      </c>
      <c r="D329" s="100">
        <v>1223</v>
      </c>
      <c r="E329" s="100">
        <v>1073</v>
      </c>
      <c r="F329" s="58">
        <v>663</v>
      </c>
      <c r="G329" s="58">
        <v>758</v>
      </c>
      <c r="H329" s="58">
        <v>768</v>
      </c>
      <c r="I329" s="58">
        <v>772</v>
      </c>
      <c r="J329" s="58">
        <v>772</v>
      </c>
      <c r="K329" s="58"/>
      <c r="L329" s="58">
        <v>780</v>
      </c>
      <c r="M329" s="58">
        <v>780</v>
      </c>
      <c r="N329" s="58"/>
      <c r="O329" s="58">
        <v>784</v>
      </c>
      <c r="P329" s="58">
        <v>784</v>
      </c>
    </row>
    <row r="330" spans="1:16" ht="75" x14ac:dyDescent="0.3">
      <c r="A330" s="16" t="s">
        <v>114</v>
      </c>
      <c r="B330" s="6" t="s">
        <v>115</v>
      </c>
      <c r="C330" s="58">
        <v>124.8</v>
      </c>
      <c r="D330" s="100">
        <v>141.80000000000001</v>
      </c>
      <c r="E330" s="100">
        <v>154.19999999999999</v>
      </c>
      <c r="F330" s="58">
        <v>153.80000000000001</v>
      </c>
      <c r="G330" s="58">
        <v>155.6</v>
      </c>
      <c r="H330" s="58">
        <v>155.6</v>
      </c>
      <c r="I330" s="58">
        <v>155.6</v>
      </c>
      <c r="J330" s="58">
        <v>155.6</v>
      </c>
      <c r="K330" s="58"/>
      <c r="L330" s="58">
        <v>155.6</v>
      </c>
      <c r="M330" s="58">
        <v>155.6</v>
      </c>
      <c r="N330" s="58"/>
      <c r="O330" s="58">
        <v>190</v>
      </c>
      <c r="P330" s="58">
        <v>190</v>
      </c>
    </row>
    <row r="331" spans="1:16" ht="18.75" x14ac:dyDescent="0.3">
      <c r="A331" s="16" t="s">
        <v>116</v>
      </c>
      <c r="B331" s="4"/>
      <c r="C331" s="58"/>
      <c r="D331" s="100"/>
      <c r="E331" s="100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</row>
    <row r="332" spans="1:16" ht="56.25" x14ac:dyDescent="0.3">
      <c r="A332" s="16" t="s">
        <v>117</v>
      </c>
      <c r="B332" s="6" t="s">
        <v>118</v>
      </c>
      <c r="C332" s="58">
        <v>4.2000000000000003E-2</v>
      </c>
      <c r="D332" s="100">
        <v>3.5000000000000003E-2</v>
      </c>
      <c r="E332" s="100">
        <v>4.7E-2</v>
      </c>
      <c r="F332" s="58">
        <v>4.3999999999999997E-2</v>
      </c>
      <c r="G332" s="58">
        <v>5.2999999999999999E-2</v>
      </c>
      <c r="H332" s="145">
        <v>0.05</v>
      </c>
      <c r="I332" s="58">
        <v>5.1999999999999998E-2</v>
      </c>
      <c r="J332" s="58">
        <v>5.1999999999999998E-2</v>
      </c>
      <c r="K332" s="58"/>
      <c r="L332" s="58">
        <v>5.2999999999999999E-2</v>
      </c>
      <c r="M332" s="58">
        <v>5.2999999999999999E-2</v>
      </c>
      <c r="N332" s="58"/>
      <c r="O332" s="58">
        <v>5.2999999999999999E-2</v>
      </c>
      <c r="P332" s="58">
        <v>5.2999999999999999E-2</v>
      </c>
    </row>
    <row r="333" spans="1:16" ht="56.25" x14ac:dyDescent="0.3">
      <c r="A333" s="16" t="s">
        <v>119</v>
      </c>
      <c r="B333" s="6" t="s">
        <v>118</v>
      </c>
      <c r="C333" s="58">
        <v>0.16900000000000001</v>
      </c>
      <c r="D333" s="101">
        <v>0.17</v>
      </c>
      <c r="E333" s="101">
        <v>0.19500000000000001</v>
      </c>
      <c r="F333" s="145">
        <v>0.19600000000000001</v>
      </c>
      <c r="G333" s="145">
        <v>0.217</v>
      </c>
      <c r="H333" s="145">
        <v>0.22500000000000001</v>
      </c>
      <c r="I333" s="58">
        <v>0.22500000000000001</v>
      </c>
      <c r="J333" s="58">
        <v>0.22500000000000001</v>
      </c>
      <c r="K333" s="58"/>
      <c r="L333" s="58">
        <v>0.22600000000000001</v>
      </c>
      <c r="M333" s="58">
        <v>0.22600000000000001</v>
      </c>
      <c r="N333" s="58"/>
      <c r="O333" s="58">
        <v>0.22600000000000001</v>
      </c>
      <c r="P333" s="58">
        <v>0.22600000000000001</v>
      </c>
    </row>
  </sheetData>
  <mergeCells count="17">
    <mergeCell ref="E3:G3"/>
    <mergeCell ref="A4:O4"/>
    <mergeCell ref="A5:O5"/>
    <mergeCell ref="T129:W129"/>
    <mergeCell ref="D9:D11"/>
    <mergeCell ref="E9:E11"/>
    <mergeCell ref="H9:H11"/>
    <mergeCell ref="I9:K9"/>
    <mergeCell ref="L9:N9"/>
    <mergeCell ref="B8:B11"/>
    <mergeCell ref="O9:P9"/>
    <mergeCell ref="A6:P6"/>
    <mergeCell ref="I8:P8"/>
    <mergeCell ref="A8:A11"/>
    <mergeCell ref="C9:C11"/>
    <mergeCell ref="F9:F11"/>
    <mergeCell ref="G9:G11"/>
  </mergeCells>
  <pageMargins left="0.78740157480314965" right="0.19685039370078741" top="0.39370078740157483" bottom="0.19685039370078741" header="0" footer="0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2п исправл</vt:lpstr>
      <vt:lpstr>'форма 2п исправл'!Заголовки_для_печати</vt:lpstr>
    </vt:vector>
  </TitlesOfParts>
  <Company>economy.gov.ru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YakuninaOI</cp:lastModifiedBy>
  <cp:lastPrinted>2024-08-23T04:45:16Z</cp:lastPrinted>
  <dcterms:created xsi:type="dcterms:W3CDTF">2013-05-25T16:45:04Z</dcterms:created>
  <dcterms:modified xsi:type="dcterms:W3CDTF">2024-10-23T07:20:17Z</dcterms:modified>
</cp:coreProperties>
</file>