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1" activeTab="1"/>
  </bookViews>
  <sheets>
    <sheet name="Отчет" sheetId="14" state="hidden" r:id="rId1"/>
    <sheet name="Отчет за 12 месяцев( верный )" sheetId="21" r:id="rId2"/>
    <sheet name="Лист1" sheetId="20" state="hidden" r:id="rId3"/>
    <sheet name="Лист2" sheetId="22" state="hidden" r:id="rId4"/>
    <sheet name="Отчет за 12 месяцев (2)" sheetId="23" state="hidden" r:id="rId5"/>
  </sheets>
  <definedNames>
    <definedName name="_xlnm.Print_Titles" localSheetId="0">Отчет!$4:$6</definedName>
    <definedName name="_xlnm.Print_Titles" localSheetId="4">'Отчет за 12 месяцев (2)'!$4:$6</definedName>
    <definedName name="_xlnm.Print_Titles" localSheetId="1">'Отчет за 12 месяцев( верный )'!$4:$6</definedName>
    <definedName name="_xlnm.Print_Area" localSheetId="0">Отчет!$A$1:$L$154</definedName>
    <definedName name="_xlnm.Print_Area" localSheetId="4">'Отчет за 12 месяцев (2)'!$A$1:$L$197</definedName>
    <definedName name="_xlnm.Print_Area" localSheetId="1">'Отчет за 12 месяцев( верный )'!$A$1:$L$198</definedName>
  </definedNames>
  <calcPr calcId="125725"/>
</workbook>
</file>

<file path=xl/calcChain.xml><?xml version="1.0" encoding="utf-8"?>
<calcChain xmlns="http://schemas.openxmlformats.org/spreadsheetml/2006/main">
  <c r="Q127" i="21"/>
  <c r="O95"/>
  <c r="O97"/>
  <c r="O87"/>
  <c r="O145"/>
  <c r="O71"/>
  <c r="O68"/>
  <c r="O31"/>
  <c r="O22"/>
  <c r="O17"/>
  <c r="O137"/>
  <c r="G127"/>
  <c r="P71"/>
  <c r="J70" i="23"/>
  <c r="J188"/>
  <c r="H82"/>
  <c r="J82" s="1"/>
  <c r="H17"/>
  <c r="G17"/>
  <c r="H17" i="21"/>
  <c r="G17"/>
  <c r="G181" i="23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R7" i="21"/>
  <c r="P161"/>
  <c r="J161"/>
  <c r="O146"/>
  <c r="O64"/>
  <c r="O63"/>
  <c r="O60"/>
  <c r="O56"/>
  <c r="O53"/>
  <c r="O49"/>
  <c r="O26"/>
  <c r="O58"/>
  <c r="O47"/>
  <c r="O48"/>
  <c r="O46"/>
  <c r="O41"/>
  <c r="Q162"/>
  <c r="P162"/>
  <c r="O169"/>
  <c r="O165"/>
  <c r="O164"/>
  <c r="O162"/>
  <c r="Q82" i="23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O126" i="21"/>
  <c r="O57"/>
  <c r="O55"/>
  <c r="O52"/>
  <c r="O54"/>
  <c r="O51"/>
  <c r="O50"/>
  <c r="H184" i="23" l="1"/>
  <c r="H188"/>
  <c r="P17"/>
  <c r="F181"/>
  <c r="F188" s="1"/>
  <c r="I184"/>
  <c r="G188"/>
  <c r="K147"/>
  <c r="J120"/>
  <c r="K120" s="1"/>
  <c r="K126"/>
  <c r="Q126"/>
  <c r="O34" i="21"/>
  <c r="P32" s="1"/>
  <c r="R32" s="1"/>
  <c r="O33"/>
  <c r="O43"/>
  <c r="O44"/>
  <c r="O42"/>
  <c r="O40"/>
  <c r="O39"/>
  <c r="O32"/>
  <c r="F184" i="23" l="1"/>
  <c r="J181"/>
  <c r="O29" i="21"/>
  <c r="O25"/>
  <c r="K181" i="23" l="1"/>
  <c r="J184"/>
  <c r="O19" i="21"/>
  <c r="J19"/>
  <c r="P58"/>
  <c r="O62"/>
  <c r="O59"/>
  <c r="O65"/>
  <c r="K65"/>
  <c r="P83" l="1"/>
  <c r="O92"/>
  <c r="O91"/>
  <c r="O107"/>
  <c r="O90"/>
  <c r="O89"/>
  <c r="O88"/>
  <c r="O84"/>
  <c r="O83"/>
  <c r="O72"/>
  <c r="O79"/>
  <c r="O78"/>
  <c r="O75"/>
  <c r="O100"/>
  <c r="Q98" s="1"/>
  <c r="R98" s="1"/>
  <c r="O99"/>
  <c r="O101"/>
  <c r="O102"/>
  <c r="O104"/>
  <c r="P103" s="1"/>
  <c r="Q103" s="1"/>
  <c r="O103"/>
  <c r="Q105"/>
  <c r="P105"/>
  <c r="O106"/>
  <c r="O105"/>
  <c r="O108"/>
  <c r="O120"/>
  <c r="O109"/>
  <c r="O116"/>
  <c r="P116" s="1"/>
  <c r="O118"/>
  <c r="O119"/>
  <c r="O115"/>
  <c r="O114"/>
  <c r="O113"/>
  <c r="O112"/>
  <c r="O111"/>
  <c r="O110"/>
  <c r="O144"/>
  <c r="P144" s="1"/>
  <c r="O152"/>
  <c r="O149"/>
  <c r="O153"/>
  <c r="O151"/>
  <c r="O154"/>
  <c r="O155"/>
  <c r="O177"/>
  <c r="O175"/>
  <c r="P99" l="1"/>
  <c r="Q107"/>
  <c r="P149"/>
  <c r="P174"/>
  <c r="O180" l="1"/>
  <c r="O7"/>
  <c r="O12"/>
  <c r="P12" s="1"/>
  <c r="O14"/>
  <c r="O11"/>
  <c r="O10"/>
  <c r="O9"/>
  <c r="Q7" l="1"/>
  <c r="P7"/>
  <c r="G162" l="1"/>
  <c r="G173"/>
  <c r="G18"/>
  <c r="J17"/>
  <c r="P17" s="1"/>
  <c r="H18"/>
  <c r="H162"/>
  <c r="G68"/>
  <c r="I18"/>
  <c r="J7"/>
  <c r="J127"/>
  <c r="H124"/>
  <c r="J107"/>
  <c r="R107" s="1"/>
  <c r="J170"/>
  <c r="O129" l="1"/>
  <c r="O127" l="1"/>
  <c r="P127" s="1"/>
  <c r="P124"/>
  <c r="O125"/>
  <c r="O124"/>
  <c r="O122"/>
  <c r="P122" s="1"/>
  <c r="J124"/>
  <c r="O132"/>
  <c r="O136"/>
  <c r="O134"/>
  <c r="Q124" l="1"/>
  <c r="P132"/>
  <c r="O142" l="1"/>
  <c r="O140" l="1"/>
  <c r="O69" l="1"/>
  <c r="J71"/>
  <c r="P68" l="1"/>
  <c r="O138"/>
  <c r="O171"/>
  <c r="P171" s="1"/>
  <c r="F132"/>
  <c r="F19"/>
  <c r="E18"/>
  <c r="F170"/>
  <c r="C70"/>
  <c r="G70"/>
  <c r="F71"/>
  <c r="K71" s="1"/>
  <c r="F103"/>
  <c r="F107"/>
  <c r="K107" s="1"/>
  <c r="D121"/>
  <c r="F124"/>
  <c r="F127"/>
  <c r="F144"/>
  <c r="D148"/>
  <c r="F180"/>
  <c r="F162" l="1"/>
  <c r="C148"/>
  <c r="C18"/>
  <c r="F17"/>
  <c r="J181"/>
  <c r="P181" s="1"/>
  <c r="M47"/>
  <c r="M41"/>
  <c r="M83"/>
  <c r="M90"/>
  <c r="M87"/>
  <c r="M84"/>
  <c r="M88"/>
  <c r="M105"/>
  <c r="J105" l="1"/>
  <c r="J83"/>
  <c r="Q83" s="1"/>
  <c r="J184"/>
  <c r="I184"/>
  <c r="H184"/>
  <c r="G184"/>
  <c r="F184"/>
  <c r="E184"/>
  <c r="D184"/>
  <c r="C184"/>
  <c r="F181"/>
  <c r="K181" s="1"/>
  <c r="M180"/>
  <c r="J180"/>
  <c r="P180" s="1"/>
  <c r="J179"/>
  <c r="F179"/>
  <c r="M174"/>
  <c r="J174"/>
  <c r="Q175" s="1"/>
  <c r="F174"/>
  <c r="I173"/>
  <c r="H173"/>
  <c r="E173"/>
  <c r="D173"/>
  <c r="C173"/>
  <c r="M171"/>
  <c r="N171" s="1"/>
  <c r="J171"/>
  <c r="Q171" s="1"/>
  <c r="F171"/>
  <c r="M169"/>
  <c r="M164"/>
  <c r="M162"/>
  <c r="J162"/>
  <c r="F161"/>
  <c r="M154"/>
  <c r="M153"/>
  <c r="M151"/>
  <c r="M149"/>
  <c r="J149"/>
  <c r="F149"/>
  <c r="I148"/>
  <c r="H148"/>
  <c r="G148"/>
  <c r="E148"/>
  <c r="M146"/>
  <c r="M145"/>
  <c r="M144"/>
  <c r="J144"/>
  <c r="Q145" s="1"/>
  <c r="J143"/>
  <c r="P143" s="1"/>
  <c r="F143"/>
  <c r="J142"/>
  <c r="P142" s="1"/>
  <c r="F142"/>
  <c r="J141"/>
  <c r="P141" s="1"/>
  <c r="F141"/>
  <c r="N140"/>
  <c r="J140"/>
  <c r="P140" s="1"/>
  <c r="F140"/>
  <c r="I139"/>
  <c r="H139"/>
  <c r="G139"/>
  <c r="E139"/>
  <c r="D139"/>
  <c r="C139"/>
  <c r="M138"/>
  <c r="J138"/>
  <c r="P138" s="1"/>
  <c r="F138"/>
  <c r="M137"/>
  <c r="M134"/>
  <c r="M132"/>
  <c r="J132"/>
  <c r="Q132" s="1"/>
  <c r="M129"/>
  <c r="M127"/>
  <c r="M126"/>
  <c r="M125"/>
  <c r="M124"/>
  <c r="K124"/>
  <c r="N122"/>
  <c r="M122"/>
  <c r="J122"/>
  <c r="Q122" s="1"/>
  <c r="F122"/>
  <c r="I121"/>
  <c r="H121"/>
  <c r="G121"/>
  <c r="E121"/>
  <c r="C121"/>
  <c r="M120"/>
  <c r="M118"/>
  <c r="M116"/>
  <c r="M113"/>
  <c r="M112"/>
  <c r="M111"/>
  <c r="M108"/>
  <c r="M107"/>
  <c r="M106"/>
  <c r="N105" s="1"/>
  <c r="F105"/>
  <c r="M104"/>
  <c r="M103"/>
  <c r="J103"/>
  <c r="M102"/>
  <c r="M99"/>
  <c r="J98"/>
  <c r="F98"/>
  <c r="M95"/>
  <c r="M91"/>
  <c r="M89"/>
  <c r="F83"/>
  <c r="M79"/>
  <c r="M78"/>
  <c r="M75"/>
  <c r="M72"/>
  <c r="M71"/>
  <c r="I70"/>
  <c r="H70"/>
  <c r="E70"/>
  <c r="D70"/>
  <c r="M68"/>
  <c r="J68"/>
  <c r="F68"/>
  <c r="M65"/>
  <c r="J65"/>
  <c r="F65"/>
  <c r="M63"/>
  <c r="M62"/>
  <c r="M60"/>
  <c r="M59"/>
  <c r="M58"/>
  <c r="J58"/>
  <c r="F58"/>
  <c r="M57"/>
  <c r="M56"/>
  <c r="M55"/>
  <c r="M54"/>
  <c r="M53"/>
  <c r="M52"/>
  <c r="M51"/>
  <c r="M50"/>
  <c r="M49"/>
  <c r="M48"/>
  <c r="M46"/>
  <c r="M44"/>
  <c r="M42"/>
  <c r="M40"/>
  <c r="M39"/>
  <c r="M33"/>
  <c r="M32"/>
  <c r="M31"/>
  <c r="M29"/>
  <c r="M26"/>
  <c r="M25"/>
  <c r="M22"/>
  <c r="M19"/>
  <c r="D18"/>
  <c r="M14"/>
  <c r="M12"/>
  <c r="M10"/>
  <c r="M9"/>
  <c r="M7"/>
  <c r="F7"/>
  <c r="K7" s="1"/>
  <c r="D5" i="20"/>
  <c r="D7" s="1"/>
  <c r="K68" i="21" l="1"/>
  <c r="C182"/>
  <c r="F18"/>
  <c r="N127"/>
  <c r="K149"/>
  <c r="Q149"/>
  <c r="N124"/>
  <c r="N83"/>
  <c r="N58"/>
  <c r="F70"/>
  <c r="N149"/>
  <c r="N103"/>
  <c r="K171"/>
  <c r="N173"/>
  <c r="N71"/>
  <c r="N162"/>
  <c r="N7"/>
  <c r="G182"/>
  <c r="N132"/>
  <c r="E182"/>
  <c r="N98"/>
  <c r="N107"/>
  <c r="N144"/>
  <c r="N19"/>
  <c r="Q68"/>
  <c r="K19"/>
  <c r="J18"/>
  <c r="K17"/>
  <c r="K122"/>
  <c r="K141"/>
  <c r="K180"/>
  <c r="F173"/>
  <c r="K132"/>
  <c r="K162"/>
  <c r="K170"/>
  <c r="K142"/>
  <c r="J139"/>
  <c r="K140"/>
  <c r="K143"/>
  <c r="F121"/>
  <c r="K105"/>
  <c r="K98"/>
  <c r="K58"/>
  <c r="J173"/>
  <c r="K174"/>
  <c r="J148"/>
  <c r="K148" s="1"/>
  <c r="F148"/>
  <c r="K161"/>
  <c r="K144"/>
  <c r="K138"/>
  <c r="H182"/>
  <c r="K127"/>
  <c r="J121"/>
  <c r="I182"/>
  <c r="K103"/>
  <c r="D182"/>
  <c r="J70"/>
  <c r="K83"/>
  <c r="F139"/>
  <c r="A11" i="20"/>
  <c r="C185" i="21" l="1"/>
  <c r="D185"/>
  <c r="K173"/>
  <c r="K121"/>
  <c r="K18"/>
  <c r="H185"/>
  <c r="I185"/>
  <c r="F182"/>
  <c r="K70"/>
  <c r="E185"/>
  <c r="G185"/>
  <c r="J182"/>
  <c r="K139"/>
  <c r="F185" l="1"/>
  <c r="K182"/>
  <c r="J185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<sst xmlns="http://schemas.openxmlformats.org/spreadsheetml/2006/main" count="703" uniqueCount="485">
  <si>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</si>
  <si>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</si>
  <si>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</si>
  <si>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</si>
  <si>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</si>
  <si>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</si>
  <si>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</si>
  <si>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</si>
  <si>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</si>
  <si>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</si>
  <si>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</si>
  <si>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</si>
  <si>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</si>
  <si>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</si>
  <si>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</si>
  <si>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</si>
  <si>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</si>
  <si>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</si>
  <si>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</si>
  <si>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</si>
  <si>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</si>
  <si>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</si>
  <si>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</si>
  <si>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</si>
  <si>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</si>
  <si>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</si>
  <si>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</si>
  <si>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</si>
  <si>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</si>
  <si>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</si>
  <si>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</si>
  <si>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</si>
  <si>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</si>
  <si>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</si>
  <si>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</si>
  <si>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</si>
  <si>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</si>
  <si>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</si>
  <si>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</si>
  <si>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</si>
  <si>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</si>
  <si>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</si>
  <si>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</si>
  <si>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</si>
  <si>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</si>
  <si>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</si>
  <si>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</si>
  <si>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</si>
  <si>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</si>
  <si>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</si>
  <si>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</si>
  <si>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</si>
  <si>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</si>
  <si>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</si>
  <si>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</si>
  <si>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</si>
  <si>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</si>
  <si>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</si>
  <si>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</si>
  <si>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</si>
  <si>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</si>
  <si>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</si>
  <si>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</si>
  <si>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</si>
  <si>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</si>
  <si>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</si>
  <si>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</si>
  <si>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</si>
  <si>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</si>
  <si>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</si>
  <si>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</si>
  <si>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</si>
  <si>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</si>
  <si>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</si>
  <si>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</si>
  <si>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</si>
  <si>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</si>
  <si>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</si>
  <si>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</si>
  <si>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</si>
  <si>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</si>
  <si>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</si>
  <si>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</si>
  <si>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</si>
  <si>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</si>
  <si>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</si>
  <si>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</si>
  <si>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</si>
  <si>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</si>
  <si>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</si>
  <si>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</si>
  <si>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</si>
  <si>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</si>
  <si>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</si>
  <si>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</si>
  <si>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</si>
  <si>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</si>
  <si>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</si>
  <si>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</si>
  <si>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</si>
  <si>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</si>
  <si>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</si>
  <si>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</si>
  <si>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</si>
  <si>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</si>
  <si>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</si>
  <si>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</si>
  <si>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</si>
  <si>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</si>
  <si>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</si>
  <si>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</si>
  <si>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</si>
  <si>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</si>
  <si>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</si>
  <si>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</si>
  <si>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</si>
  <si>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</si>
  <si>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</si>
  <si>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</si>
  <si>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</si>
  <si>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</si>
  <si>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</si>
  <si>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</si>
  <si>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</si>
  <si>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</si>
  <si>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</si>
  <si>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</si>
  <si>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</si>
  <si>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</si>
  <si>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</si>
  <si>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</si>
  <si>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</si>
  <si>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</si>
  <si>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</si>
  <si>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</si>
  <si>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</si>
  <si>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</si>
  <si>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</si>
  <si>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</si>
  <si>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</si>
  <si>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</si>
  <si>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</si>
  <si>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</si>
  <si>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</si>
  <si>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</si>
  <si>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</si>
  <si>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</si>
  <si>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</si>
  <si>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</si>
  <si>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</si>
  <si>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</si>
  <si>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</si>
  <si>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</si>
  <si>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</si>
  <si>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</si>
  <si>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</si>
  <si>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</si>
  <si>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</si>
  <si>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</si>
  <si>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</si>
  <si>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</si>
  <si>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</si>
  <si>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</si>
  <si>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</si>
  <si>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</si>
  <si>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</si>
  <si>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</si>
  <si>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</si>
  <si>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</si>
  <si>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</si>
  <si>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</si>
  <si>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</si>
  <si>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</si>
  <si>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</si>
  <si>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</si>
  <si>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</si>
  <si>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</si>
  <si>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</si>
  <si>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</si>
  <si>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</si>
  <si>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</si>
  <si>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</si>
  <si>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</si>
  <si>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</si>
  <si>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</si>
  <si>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</si>
  <si>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</si>
  <si>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</si>
  <si>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</si>
  <si>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</si>
  <si>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</si>
  <si>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</si>
  <si>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</si>
  <si>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</si>
  <si>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</si>
  <si>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</si>
  <si>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</si>
  <si>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</si>
  <si>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</si>
  <si>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</si>
  <si>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</si>
  <si>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</si>
  <si>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</si>
  <si>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</si>
  <si>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</si>
  <si>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</si>
  <si>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</si>
  <si>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</si>
  <si>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</si>
  <si>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</si>
  <si>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</si>
  <si>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</si>
  <si>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</si>
  <si>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</si>
  <si>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</si>
  <si>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</si>
  <si>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</si>
  <si>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</si>
  <si>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</si>
  <si>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</si>
  <si>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</si>
  <si>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</si>
  <si>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</si>
  <si>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</si>
  <si>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</si>
  <si>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</si>
  <si>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</si>
  <si>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</si>
  <si>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</si>
  <si>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</si>
  <si>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</si>
  <si>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</si>
  <si>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</si>
  <si>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</si>
  <si>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</si>
  <si>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</si>
  <si>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</si>
  <si>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</si>
  <si>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</si>
  <si>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</si>
  <si>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</si>
  <si>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</si>
  <si>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</si>
  <si>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</si>
  <si>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</si>
  <si>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</si>
  <si>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</si>
  <si>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</si>
  <si>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</si>
  <si>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</si>
  <si>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</si>
  <si>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</si>
  <si>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</si>
  <si>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</si>
  <si>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</si>
  <si>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</si>
  <si>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</si>
  <si>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</si>
  <si>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</si>
  <si>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</si>
  <si>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</si>
  <si>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</si>
  <si>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</si>
  <si>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</si>
  <si>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</si>
  <si>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</si>
  <si>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</si>
  <si>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</si>
  <si>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</si>
  <si>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</si>
  <si>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</si>
  <si>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</si>
  <si>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</si>
  <si>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</si>
  <si>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</si>
  <si>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</si>
  <si>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</si>
  <si>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</si>
  <si>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</si>
  <si>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</si>
  <si>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</si>
  <si>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</si>
  <si>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</si>
  <si>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</si>
  <si>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</si>
  <si>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</si>
  <si>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</si>
  <si>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</si>
  <si>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</si>
  <si>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</si>
  <si>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</si>
  <si>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</si>
  <si>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</si>
  <si>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</si>
  <si>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</si>
  <si>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</si>
  <si>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</si>
  <si>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</si>
  <si>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</si>
  <si>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</si>
  <si>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</si>
  <si>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</si>
  <si>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</si>
  <si>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</si>
  <si>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</si>
  <si>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</si>
  <si>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</si>
  <si>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</si>
  <si>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</si>
  <si>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</si>
  <si>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</si>
  <si>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</si>
  <si>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</si>
  <si>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</si>
  <si>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</si>
  <si>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</si>
  <si>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</si>
  <si>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</si>
  <si>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</si>
  <si>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</si>
  <si>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</si>
  <si>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</si>
  <si>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</si>
  <si>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</si>
  <si>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</si>
  <si>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</si>
  <si>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</si>
  <si>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</si>
  <si>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</si>
  <si>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</si>
  <si>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</si>
  <si>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</si>
  <si>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</si>
  <si>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</si>
  <si>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</si>
  <si>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</si>
  <si>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</si>
  <si>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</si>
  <si>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</si>
  <si>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</si>
  <si>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</si>
  <si>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</si>
  <si>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</si>
  <si>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</si>
  <si>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</si>
  <si>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</si>
  <si>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</si>
  <si>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</si>
  <si>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</si>
  <si>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</si>
  <si>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</si>
  <si>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</si>
  <si>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</si>
  <si>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</si>
  <si>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</si>
  <si>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-  0,04. </t>
  </si>
  <si>
    <t>Выполнено с начала года % (гр.10/гр.6х100)</t>
  </si>
  <si>
    <r>
      <rPr>
        <b/>
        <i/>
        <sz val="15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5"/>
        <rFont val="Times New Roman"/>
        <family val="1"/>
        <charset val="204"/>
      </rPr>
      <t xml:space="preserve">, в том числе: </t>
    </r>
    <r>
      <rPr>
        <b/>
        <i/>
        <sz val="15"/>
        <rFont val="Times New Roman"/>
        <family val="1"/>
        <charset val="204"/>
      </rPr>
      <t xml:space="preserve">721,0(МБ), 1,3(РХ), 128,9(ФБ)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</si>
  <si>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i/>
        <sz val="15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</si>
  <si>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</si>
  <si>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>Обеспечение деятельности органов местного самоуправления - 15212,8, в том числе: 11017,6 (МБ), 4195,2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- 10822,6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</si>
  <si>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2.Содержание объекта по утилизации биологических отходов - 195,0 (МБ)</t>
    </r>
    <r>
      <rPr>
        <sz val="15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</si>
  <si>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5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5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</si>
  <si>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t xml:space="preserve">Реализация мер по охране окружающей среды- 19228,4 (МБ),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1.Природоохранные мероприятия  - 19228,4 </t>
    </r>
    <r>
      <rPr>
        <i/>
        <sz val="15"/>
        <rFont val="Times New Roman"/>
        <family val="1"/>
        <charset val="204"/>
      </rPr>
      <t>(ликвидация свалок)</t>
    </r>
  </si>
  <si>
    <r>
      <rPr>
        <b/>
        <sz val="15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</si>
  <si>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i/>
        <sz val="15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</si>
  <si>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</si>
  <si>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5"/>
        <rFont val="Times New Roman"/>
        <family val="1"/>
        <charset val="204"/>
      </rPr>
      <t xml:space="preserve">:                                                                   </t>
    </r>
    <r>
      <rPr>
        <sz val="15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</si>
  <si>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5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 (МБ),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</si>
  <si>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5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</si>
  <si>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- 12124,78(МБ)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</si>
  <si>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 (МБ),</t>
    </r>
    <r>
      <rPr>
        <sz val="15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</si>
  <si>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 (МБ), </t>
    </r>
    <r>
      <rPr>
        <sz val="15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</si>
  <si>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</si>
  <si>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rPr>
        <b/>
        <i/>
        <sz val="15"/>
        <rFont val="Times New Roman"/>
        <family val="1"/>
        <charset val="204"/>
      </rPr>
      <t xml:space="preserve">3.Реализация мероприятий по развитию общеобразовательных организаций - 40,82 (МБ):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</si>
  <si>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</si>
  <si>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</si>
  <si>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r>
      <rPr>
        <b/>
        <sz val="15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5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</si>
  <si>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</si>
  <si>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</si>
  <si>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5"/>
        <rFont val="Times New Roman"/>
        <family val="1"/>
        <charset val="204"/>
      </rPr>
      <t xml:space="preserve"> - </t>
    </r>
    <r>
      <rPr>
        <b/>
        <i/>
        <sz val="15"/>
        <rFont val="Times New Roman"/>
        <family val="1"/>
        <charset val="204"/>
      </rPr>
      <t>34162,02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</si>
  <si>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5"/>
        <rFont val="Times New Roman"/>
        <family val="1"/>
        <charset val="204"/>
      </rPr>
      <t xml:space="preserve">4.Создание условия для обеспечения современного качества образования - 627,2 (МБ),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</si>
  <si>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- 340,54(МБ)</t>
    </r>
    <r>
      <rPr>
        <sz val="15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</si>
  <si>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</si>
  <si>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5079,7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 (МБ)</t>
    </r>
    <r>
      <rPr>
        <b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5"/>
        <rFont val="Times New Roman"/>
        <family val="1"/>
        <charset val="204"/>
      </rPr>
      <t xml:space="preserve"> из них: </t>
    </r>
    <r>
      <rPr>
        <b/>
        <sz val="15"/>
        <rFont val="Times New Roman"/>
        <family val="1"/>
        <charset val="204"/>
      </rPr>
      <t>7,9</t>
    </r>
    <r>
      <rPr>
        <b/>
        <i/>
        <sz val="15"/>
        <rFont val="Times New Roman"/>
        <family val="1"/>
        <charset val="204"/>
      </rPr>
      <t xml:space="preserve"> (МБ), 387,3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</si>
  <si>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</si>
  <si>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4.Укрепление материально-технической базы - 568,0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</si>
  <si>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</si>
  <si>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 (МБ), 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5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</si>
  <si>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культуры- 970,4, из них:                                                         19,4(МБ), 951,0 (РХ). 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фондов- 970,4;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</si>
  <si>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5"/>
        <rFont val="Times New Roman"/>
        <family val="1"/>
        <charset val="204"/>
      </rPr>
      <t xml:space="preserve">- </t>
    </r>
    <r>
      <rPr>
        <b/>
        <i/>
        <sz val="15"/>
        <rFont val="Times New Roman"/>
        <family val="1"/>
        <charset val="204"/>
      </rPr>
      <t>508,9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</t>
    </r>
    <r>
      <rPr>
        <i/>
        <sz val="15"/>
        <rFont val="Times New Roman"/>
        <family val="1"/>
        <charset val="204"/>
      </rPr>
      <t>:</t>
    </r>
    <r>
      <rPr>
        <b/>
        <i/>
        <sz val="15"/>
        <rFont val="Times New Roman"/>
        <family val="1"/>
        <charset val="204"/>
      </rPr>
      <t xml:space="preserve"> 10,2(МБ), 498,7(РХ).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</si>
  <si>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</si>
  <si>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- 3163,1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</si>
  <si>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3. Обеспечение безопасности музейного фонда и развитие музеев - 451,7 (МБ), из них: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</si>
  <si>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5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</si>
  <si>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 (МБ), из них:                                                                                 </t>
    </r>
    <r>
      <rPr>
        <sz val="15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5"/>
        <rFont val="Times New Roman"/>
        <family val="1"/>
        <charset val="204"/>
      </rPr>
      <t xml:space="preserve"> </t>
    </r>
  </si>
  <si>
    <r>
      <rPr>
        <b/>
        <sz val="15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- 342,5(МБ)</t>
    </r>
    <r>
      <rPr>
        <sz val="15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</si>
  <si>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- 1069,7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</si>
  <si>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- 566,7 (МБ):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</si>
  <si>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- 7225,8(МБ)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</si>
  <si>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- 23362,7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</si>
  <si>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-2103,4(МБ)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</si>
  <si>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- 148,80(МБ)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</si>
  <si>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</si>
  <si>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 xml:space="preserve">   </t>
    </r>
    <r>
      <rPr>
        <b/>
        <sz val="15"/>
        <rFont val="Times New Roman"/>
        <family val="1"/>
        <charset val="204"/>
      </rPr>
      <t xml:space="preserve">                                           </t>
    </r>
    <r>
      <rPr>
        <sz val="15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</si>
  <si>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5"/>
        <rFont val="Times New Roman"/>
        <family val="1"/>
        <charset val="204"/>
      </rPr>
      <t>3.Капитальный ремонт объектов муниципальной собственности- 76,60 (МБ),</t>
    </r>
    <r>
      <rPr>
        <sz val="15"/>
        <rFont val="Times New Roman"/>
        <family val="1"/>
        <charset val="204"/>
      </rPr>
      <t xml:space="preserve">в том числе: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</si>
  <si>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rPr>
        <b/>
        <i/>
        <sz val="15"/>
        <rFont val="Times New Roman"/>
        <family val="1"/>
        <charset val="204"/>
      </rPr>
      <t xml:space="preserve">4. Создание условий для занятий физической культурой и спортом - 601,32 (МБ), </t>
    </r>
    <r>
      <rPr>
        <sz val="15"/>
        <rFont val="Times New Roman"/>
        <family val="1"/>
        <charset val="204"/>
      </rPr>
      <t xml:space="preserve">в том числе:     </t>
    </r>
    <r>
      <rPr>
        <b/>
        <i/>
        <sz val="15"/>
        <rFont val="Times New Roman"/>
        <family val="1"/>
        <charset val="204"/>
      </rPr>
      <t xml:space="preserve">   </t>
    </r>
    <r>
      <rPr>
        <b/>
        <sz val="15"/>
        <rFont val="Times New Roman"/>
        <family val="1"/>
        <charset val="204"/>
      </rPr>
      <t xml:space="preserve">                                                  </t>
    </r>
    <r>
      <rPr>
        <sz val="15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</si>
  <si>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5.Укрепление материально-технической базы - 150,0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</si>
  <si>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6.Строительство универсального спортивного зала п.Усть-Абакан - 8794,94 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</si>
  <si>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</si>
  <si>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t xml:space="preserve">8.Обеспечение деятельности подведомственных учреждений МАУ "Универсальный спортивный зал» - 1821,3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</si>
  <si>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sz val="15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</si>
  <si>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</si>
  <si>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</si>
  <si>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5"/>
        <rFont val="Times New Roman"/>
        <family val="1"/>
        <charset val="204"/>
      </rPr>
      <t>, в том числе:</t>
    </r>
    <r>
      <rPr>
        <sz val="15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</si>
  <si>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</si>
  <si>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2.Капитальный ремонт, в муниципальных учреждениях, т.ч. разработка ПСД - 53,0 (МБ).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</si>
  <si>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 xml:space="preserve">4.Проведение ремонта загородных детских лагерей, оздоровительных лагерей - 2373,30 (РХ).                                                                                            </t>
    </r>
    <r>
      <rPr>
        <sz val="15"/>
        <rFont val="Times New Roman"/>
        <family val="1"/>
        <charset val="204"/>
      </rPr>
      <t>^Капитальный ремонт горячего водоснабжения МАУ "ЗЛ "Дружба".</t>
    </r>
  </si>
  <si>
    <r>
      <t xml:space="preserve">5.Ремонт загородных детских лагерей, оздоровительных лагерей - 48,4(МБ). </t>
    </r>
    <r>
      <rPr>
        <sz val="15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</si>
  <si>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5"/>
        <rFont val="Times New Roman"/>
        <family val="1"/>
        <charset val="204"/>
      </rPr>
      <t>1.Обеспечение деятельности УИО - 22786,95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</si>
  <si>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</si>
  <si>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5"/>
        <rFont val="Times New Roman"/>
        <family val="1"/>
        <charset val="204"/>
      </rPr>
      <t>3.Мероприятия в сфере развития земельно-имущественных отношений - 595,0 (МБ)</t>
    </r>
    <r>
      <rPr>
        <sz val="15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</si>
  <si>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 (МБ), в том числе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</si>
  <si>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- 288,0 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- 264,0;                                                                                                                                                                    ^Транспортный налог на муниципальное имущество - 24,0.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</si>
  <si>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Мероприятия по профилактике злоупотребления наркотиками и их незаконного оборота - 20,7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</si>
  <si>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t xml:space="preserve">Укрепление безопасности и общественного порядка в Усть-Абаканском районе -11,8 (МБ), </t>
    </r>
    <r>
      <rPr>
        <sz val="15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</si>
  <si>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5"/>
        <rFont val="Times New Roman"/>
        <family val="1"/>
        <charset val="204"/>
      </rPr>
      <t>Мероприятия по повышению безопасности дорожного движения - 49,2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</si>
  <si>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Мероприятия по профилактике терроризма и экстремизма - 2,6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</si>
  <si>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</si>
  <si>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5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для создания условий формирования туристической инфраструктуры - 1362,7 (МБ):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</si>
  <si>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Мероприятия в области туризма - 65,0 (МБ), в том числе: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</si>
  <si>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11553,02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</si>
  <si>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 (МБ), из них: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</si>
  <si>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 (МБ),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</si>
  <si>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</si>
  <si>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rPr>
        <b/>
        <sz val="15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</si>
  <si>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</si>
  <si>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</si>
  <si>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</si>
  <si>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</si>
  <si>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5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</si>
  <si>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i/>
        <sz val="15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</si>
  <si>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</si>
  <si>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7967,0</t>
    </r>
    <r>
      <rPr>
        <sz val="15"/>
        <rFont val="Times New Roman"/>
        <family val="1"/>
        <charset val="204"/>
      </rPr>
      <t xml:space="preserve">, в том числе: </t>
    </r>
    <r>
      <rPr>
        <b/>
        <sz val="15"/>
        <rFont val="Times New Roman"/>
        <family val="1"/>
        <charset val="204"/>
      </rPr>
      <t xml:space="preserve">6864,6 (МБ), 11,1 (РХ), 1091,3 (ФБ)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</si>
  <si>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- 58750,13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</si>
  <si>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3.Мероприятия по развитию дошкольного образования - 7901,09 (МБ),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</si>
  <si>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^Монтаж, замена уличного освещения: д/с Родничок-52,45, д/с Звездочка-167,91; д/с Калинка-24,24 (столб);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Рябинушка-96,6;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</si>
  <si>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</si>
  <si>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5"/>
        <rFont val="Times New Roman"/>
        <family val="1"/>
        <charset val="204"/>
      </rPr>
      <t>3. Создание условия для обеспечения современного качества образования - 32317,16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</si>
  <si>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</si>
  <si>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rPr>
        <b/>
        <i/>
        <sz val="15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</si>
  <si>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t>6.Приобретение жилья для специалистов с высшим педагогическим образованием - 7602,63, из них:                              7450,58 (РХ), 152,05(МБ)</t>
    </r>
    <r>
      <rPr>
        <sz val="15"/>
        <rFont val="Times New Roman"/>
        <family val="1"/>
        <charset val="204"/>
      </rPr>
      <t>Приобретение квартир для педагогов.</t>
    </r>
  </si>
  <si>
    <r>
      <rPr>
        <b/>
        <i/>
        <sz val="15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                                 12349,54 (РХ), 252,03 (МБ)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</si>
  <si>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r>
      <rPr>
        <b/>
        <i/>
        <sz val="15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- 34214,4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</t>
    </r>
    <r>
      <rPr>
        <b/>
        <sz val="15"/>
        <rFont val="Times New Roman"/>
        <family val="1"/>
        <charset val="204"/>
      </rPr>
      <t xml:space="preserve">342,14 (МБ), 3387,23 (РХ), 30485,03 (ФБ).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</si>
  <si>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(РХ):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</si>
  <si>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t xml:space="preserve">3.Реализация мероприятий по развитию общеобразовательных организаций -20,41 (МБ):                                                                                                       </t>
    </r>
    <r>
      <rPr>
        <sz val="15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</si>
  <si>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5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 3,23 (РХ)    </t>
    </r>
    <r>
      <rPr>
        <sz val="15"/>
        <rFont val="Times New Roman"/>
        <family val="1"/>
        <charset val="204"/>
      </rPr>
      <t>Оплата труда советников.</t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</si>
  <si>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5"/>
        <rFont val="Times New Roman"/>
        <family val="1"/>
        <charset val="204"/>
      </rPr>
      <t xml:space="preserve"> - </t>
    </r>
    <r>
      <rPr>
        <b/>
        <i/>
        <sz val="15"/>
        <rFont val="Times New Roman"/>
        <family val="1"/>
        <charset val="204"/>
      </rPr>
      <t>17881,90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счете-1125,9.  </t>
    </r>
  </si>
  <si>
    <r>
      <rPr>
        <b/>
        <sz val="15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Мероприятия, направленные на патриотическое воспитание граждан - 259,20 (МБ), </t>
    </r>
    <r>
      <rPr>
        <sz val="15"/>
        <rFont val="Times New Roman"/>
        <family val="1"/>
        <charset val="204"/>
      </rPr>
      <t>из них: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</si>
  <si>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- 195,9(МБ).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 Вершино-Биджинский сельсовет-18,0; Расцветовский сельсовет-25,0.    </t>
    </r>
  </si>
  <si>
    <r>
      <t xml:space="preserve">3.Капитальный ремонт в муниципальных учреждениях,в том числе проектно-сметная документация-                                              297,4 (МБ),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</si>
  <si>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t xml:space="preserve">20. Текущий ремонт библиотек (№24-21,57; №21-64,01; №18-28,79)-144,38;                                                                                                                                                                                                     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</si>
  <si>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- 3015,4(МБ)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</si>
  <si>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5"/>
        <rFont val="Times New Roman"/>
        <family val="1"/>
        <charset val="204"/>
      </rPr>
      <t>из   них:</t>
    </r>
    <r>
      <rPr>
        <b/>
        <i/>
        <sz val="15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Комплектование книжных фондов.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</si>
  <si>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- 538,0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</si>
  <si>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8232,7 (МБ),      649,0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</si>
  <si>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</si>
  <si>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>3. Мероприятия по организации отдыха, оздоровления и занятости несовершеннолетних  - 539,7 (МБ),</t>
    </r>
    <r>
      <rPr>
        <sz val="15"/>
        <rFont val="Times New Roman"/>
        <family val="1"/>
        <charset val="204"/>
      </rPr>
      <t xml:space="preserve">в том числе: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</si>
  <si>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rPr>
        <b/>
        <sz val="15"/>
        <rFont val="Times New Roman"/>
        <family val="1"/>
        <charset val="204"/>
      </rPr>
      <t>Мероприятия по профилактике безнадзорности и правонарушений несовершеннолетних - 60,3 (МБ)</t>
    </r>
    <r>
      <rPr>
        <sz val="15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</si>
  <si>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                                                    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</si>
  <si>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5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                                                                                          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                                                      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</si>
  <si>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142,64;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</si>
  <si>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5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                                                                                                          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—43,0;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 (9 мая) баннер — 9,84;                                                                                                                                                                                                                                                    8. День российского предпринимательства —4,31.                                                                                                                                                                               9. 9 мая —150,00;                                                                                                                                                                                                                                                 10. 50-ти летний Юбилей Доможаковской КДЦ —4,0;                                                                                                                                                                    11. Клубное формир. «Возраст делу не помеха» —7,0;                                                                                                                                                                    12. Конкурс «Звонкое чудо-частушка» — 3,0;                                                                                                                                                            13. Выставка «Нам жить и помнить»—6,65;                                                                                                                                                                                   14.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Беспроводной микрофон  —37,52;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</si>
  <si>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16.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</t>
  </si>
  <si>
    <t>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39. Поддержка участников СВО-5,98.</t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</si>
  <si>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лошади"-5,21;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У-Абаканского района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</si>
  <si>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9. Частичное погашение кредиторской задолженности - 4,08, в том числе: 4,0 (РХ),0,08 (МБ).</t>
  </si>
  <si>
    <t xml:space="preserve">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(сладкие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</si>
  <si>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- 1024,22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</t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</si>
  <si>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Райковского с/с Усть-Абаканского района -               330,0    </t>
    </r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</si>
  <si>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- 16351,5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</si>
  <si>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5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 (МБ), из них: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</si>
  <si>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(МБ), из них: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                                                                                                                                                                   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</si>
  <si>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i/>
        <sz val="15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 - 15910,0 (МБ):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5"/>
        <rFont val="Times New Roman"/>
        <family val="1"/>
        <charset val="204"/>
      </rPr>
      <t xml:space="preserve">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</si>
  <si>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- 3105,10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</si>
</sst>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#,##0.000000"/>
    <numFmt numFmtId="167" formatCode="#,##0.000"/>
  </numFmts>
  <fonts count="3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5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vertical="top" wrapTex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 wrapTex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3" fontId="31" fillId="0" borderId="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165" fontId="32" fillId="0" borderId="5" xfId="0" applyNumberFormat="1" applyFont="1" applyFill="1" applyBorder="1" applyAlignment="1">
      <alignment horizontal="center" vertical="top"/>
    </xf>
    <xf numFmtId="165" fontId="32" fillId="0" borderId="11" xfId="0" applyNumberFormat="1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left" vertical="center"/>
    </xf>
    <xf numFmtId="4" fontId="31" fillId="0" borderId="0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0" xfId="0" applyNumberFormat="1" applyFont="1" applyFill="1" applyBorder="1" applyAlignment="1">
      <alignment vertical="top" wrapTex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5" fontId="31" fillId="0" borderId="8" xfId="0" applyNumberFormat="1" applyFont="1" applyFill="1" applyBorder="1" applyAlignment="1">
      <alignment vertical="top" wrapText="1"/>
    </xf>
    <xf numFmtId="0" fontId="31" fillId="0" borderId="9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5" fontId="32" fillId="0" borderId="8" xfId="0" applyNumberFormat="1" applyFont="1" applyFill="1" applyBorder="1" applyAlignment="1">
      <alignment vertical="top" wrapText="1"/>
    </xf>
    <xf numFmtId="165" fontId="31" fillId="0" borderId="6" xfId="0" applyNumberFormat="1" applyFont="1" applyFill="1" applyBorder="1" applyAlignment="1">
      <alignment horizontal="center" vertical="top"/>
    </xf>
    <xf numFmtId="164" fontId="31" fillId="0" borderId="6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center" vertical="top"/>
    </xf>
    <xf numFmtId="165" fontId="32" fillId="0" borderId="6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165" fontId="31" fillId="0" borderId="1" xfId="0" applyNumberFormat="1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165" fontId="31" fillId="0" borderId="5" xfId="0" applyNumberFormat="1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5" fontId="31" fillId="0" borderId="5" xfId="0" applyNumberFormat="1" applyFont="1" applyFill="1" applyBorder="1" applyAlignment="1">
      <alignment horizontal="left" vertical="top" wrapText="1"/>
    </xf>
    <xf numFmtId="4" fontId="31" fillId="0" borderId="0" xfId="0" applyNumberFormat="1" applyFont="1" applyFill="1" applyAlignment="1">
      <alignment horizontal="left" vertical="center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/>
    </xf>
    <xf numFmtId="4" fontId="31" fillId="0" borderId="0" xfId="0" applyNumberFormat="1" applyFont="1" applyFill="1" applyBorder="1" applyAlignment="1">
      <alignment horizontal="center" vertical="center"/>
    </xf>
    <xf numFmtId="164" fontId="32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/>
    </xf>
    <xf numFmtId="165" fontId="31" fillId="0" borderId="0" xfId="0" applyNumberFormat="1" applyFont="1" applyFill="1" applyAlignment="1">
      <alignment vertical="top"/>
    </xf>
    <xf numFmtId="4" fontId="31" fillId="0" borderId="0" xfId="0" applyNumberFormat="1" applyFont="1" applyFill="1" applyAlignment="1">
      <alignment vertical="top"/>
    </xf>
    <xf numFmtId="0" fontId="31" fillId="0" borderId="8" xfId="0" applyNumberFormat="1" applyFont="1" applyFill="1" applyBorder="1" applyAlignment="1">
      <alignment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left" vertical="top"/>
    </xf>
    <xf numFmtId="2" fontId="31" fillId="0" borderId="9" xfId="0" applyNumberFormat="1" applyFont="1" applyFill="1" applyBorder="1" applyAlignment="1">
      <alignment horizontal="left" vertical="center"/>
    </xf>
    <xf numFmtId="0" fontId="32" fillId="0" borderId="8" xfId="0" applyFont="1" applyFill="1" applyBorder="1" applyAlignment="1">
      <alignment vertical="top" wrapText="1"/>
    </xf>
    <xf numFmtId="0" fontId="31" fillId="0" borderId="21" xfId="0" applyFont="1" applyFill="1" applyBorder="1" applyAlignment="1">
      <alignment vertical="top"/>
    </xf>
    <xf numFmtId="165" fontId="31" fillId="0" borderId="21" xfId="0" applyNumberFormat="1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vertical="top" shrinkToFit="1"/>
    </xf>
    <xf numFmtId="164" fontId="31" fillId="0" borderId="21" xfId="0" applyNumberFormat="1" applyFont="1" applyFill="1" applyBorder="1" applyAlignment="1">
      <alignment vertical="top" shrinkToFit="1"/>
    </xf>
    <xf numFmtId="164" fontId="32" fillId="0" borderId="9" xfId="0" applyNumberFormat="1" applyFont="1" applyFill="1" applyBorder="1" applyAlignment="1">
      <alignment vertical="top"/>
    </xf>
    <xf numFmtId="0" fontId="31" fillId="0" borderId="0" xfId="0" applyFont="1" applyFill="1" applyBorder="1" applyAlignment="1">
      <alignment horizontal="left" vertical="center"/>
    </xf>
    <xf numFmtId="0" fontId="31" fillId="0" borderId="23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vertical="top"/>
    </xf>
    <xf numFmtId="0" fontId="32" fillId="0" borderId="6" xfId="0" applyFont="1" applyFill="1" applyBorder="1" applyAlignment="1">
      <alignment vertical="top" wrapText="1"/>
    </xf>
    <xf numFmtId="164" fontId="31" fillId="0" borderId="5" xfId="0" applyNumberFormat="1" applyFont="1" applyFill="1" applyBorder="1" applyAlignment="1">
      <alignment horizontal="right" vertical="top" shrinkToFit="1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0" xfId="0" applyNumberFormat="1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left" vertical="top"/>
    </xf>
    <xf numFmtId="165" fontId="31" fillId="0" borderId="6" xfId="0" applyNumberFormat="1" applyFont="1" applyFill="1" applyBorder="1" applyAlignment="1">
      <alignment vertical="top" wrapText="1"/>
    </xf>
    <xf numFmtId="164" fontId="31" fillId="0" borderId="12" xfId="0" applyNumberFormat="1" applyFont="1" applyFill="1" applyBorder="1" applyAlignment="1">
      <alignment horizontal="right" vertical="top" shrinkToFit="1"/>
    </xf>
    <xf numFmtId="165" fontId="31" fillId="0" borderId="1" xfId="0" applyNumberFormat="1" applyFont="1" applyFill="1" applyBorder="1" applyAlignment="1">
      <alignment horizontal="center" vertical="top"/>
    </xf>
    <xf numFmtId="165" fontId="31" fillId="0" borderId="1" xfId="0" applyNumberFormat="1" applyFont="1" applyFill="1" applyBorder="1" applyAlignment="1">
      <alignment vertical="top" wrapText="1"/>
    </xf>
    <xf numFmtId="164" fontId="31" fillId="0" borderId="1" xfId="0" applyNumberFormat="1" applyFont="1" applyFill="1" applyBorder="1" applyAlignment="1">
      <alignment horizontal="right" vertical="top" shrinkToFit="1"/>
    </xf>
    <xf numFmtId="164" fontId="31" fillId="0" borderId="4" xfId="0" applyNumberFormat="1" applyFont="1" applyFill="1" applyBorder="1" applyAlignment="1">
      <alignment horizontal="right" vertical="top" shrinkToFit="1"/>
    </xf>
    <xf numFmtId="165" fontId="31" fillId="0" borderId="0" xfId="0" applyNumberFormat="1" applyFont="1" applyFill="1" applyAlignment="1">
      <alignment horizontal="left" vertical="center"/>
    </xf>
    <xf numFmtId="164" fontId="31" fillId="0" borderId="11" xfId="0" applyNumberFormat="1" applyFont="1" applyFill="1" applyBorder="1" applyAlignment="1">
      <alignment horizontal="right" vertical="top" shrinkToFit="1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4" fontId="32" fillId="0" borderId="0" xfId="0" applyNumberFormat="1" applyFont="1" applyFill="1" applyBorder="1" applyAlignment="1">
      <alignment horizontal="center" vertical="center"/>
    </xf>
    <xf numFmtId="165" fontId="31" fillId="0" borderId="8" xfId="0" applyNumberFormat="1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center" vertical="center"/>
    </xf>
    <xf numFmtId="165" fontId="33" fillId="0" borderId="8" xfId="0" applyNumberFormat="1" applyFont="1" applyFill="1" applyBorder="1" applyAlignment="1">
      <alignment vertical="top" wrapText="1"/>
    </xf>
    <xf numFmtId="0" fontId="31" fillId="0" borderId="5" xfId="0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165" fontId="33" fillId="0" borderId="8" xfId="0" applyNumberFormat="1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left" vertical="top" wrapText="1"/>
    </xf>
    <xf numFmtId="0" fontId="31" fillId="0" borderId="12" xfId="0" applyFont="1" applyFill="1" applyBorder="1" applyAlignment="1">
      <alignment horizontal="left" vertical="top"/>
    </xf>
    <xf numFmtId="0" fontId="31" fillId="0" borderId="6" xfId="0" applyFont="1" applyFill="1" applyBorder="1" applyAlignment="1">
      <alignment horizontal="left" vertical="top" wrapText="1"/>
    </xf>
    <xf numFmtId="165" fontId="32" fillId="0" borderId="6" xfId="0" applyNumberFormat="1" applyFont="1" applyFill="1" applyBorder="1" applyAlignment="1">
      <alignment horizontal="left" vertical="top" wrapText="1"/>
    </xf>
    <xf numFmtId="0" fontId="31" fillId="0" borderId="21" xfId="0" applyFont="1" applyFill="1" applyBorder="1" applyAlignment="1">
      <alignment horizontal="left" vertical="top"/>
    </xf>
    <xf numFmtId="0" fontId="31" fillId="0" borderId="7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0" fontId="31" fillId="0" borderId="22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top" wrapText="1"/>
    </xf>
    <xf numFmtId="16" fontId="31" fillId="0" borderId="0" xfId="0" applyNumberFormat="1" applyFont="1" applyFill="1" applyBorder="1"/>
    <xf numFmtId="0" fontId="31" fillId="0" borderId="10" xfId="0" applyFont="1" applyFill="1" applyBorder="1" applyAlignment="1">
      <alignment vertical="top" wrapText="1"/>
    </xf>
    <xf numFmtId="164" fontId="31" fillId="0" borderId="23" xfId="0" applyNumberFormat="1" applyFont="1" applyFill="1" applyBorder="1" applyAlignment="1">
      <alignment horizontal="right" vertical="top" shrinkToFit="1"/>
    </xf>
    <xf numFmtId="165" fontId="31" fillId="0" borderId="10" xfId="0" applyNumberFormat="1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top" wrapText="1"/>
    </xf>
    <xf numFmtId="4" fontId="32" fillId="0" borderId="5" xfId="0" applyNumberFormat="1" applyFont="1" applyFill="1" applyBorder="1" applyAlignment="1">
      <alignment horizontal="right" vertical="top" shrinkToFit="1"/>
    </xf>
    <xf numFmtId="165" fontId="32" fillId="0" borderId="5" xfId="0" applyNumberFormat="1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 vertical="top" wrapText="1"/>
    </xf>
    <xf numFmtId="164" fontId="32" fillId="0" borderId="8" xfId="0" applyNumberFormat="1" applyFont="1" applyFill="1" applyBorder="1" applyAlignment="1">
      <alignment horizontal="center" vertical="top"/>
    </xf>
    <xf numFmtId="49" fontId="31" fillId="0" borderId="7" xfId="0" applyNumberFormat="1" applyFont="1" applyFill="1" applyBorder="1" applyAlignment="1">
      <alignment horizontal="center" vertical="top"/>
    </xf>
    <xf numFmtId="165" fontId="31" fillId="0" borderId="11" xfId="0" applyNumberFormat="1" applyFont="1" applyFill="1" applyBorder="1" applyAlignment="1">
      <alignment vertical="top" wrapText="1"/>
    </xf>
    <xf numFmtId="49" fontId="31" fillId="0" borderId="9" xfId="0" applyNumberFormat="1" applyFont="1" applyFill="1" applyBorder="1" applyAlignment="1">
      <alignment horizontal="center" vertical="top"/>
    </xf>
    <xf numFmtId="164" fontId="32" fillId="0" borderId="7" xfId="0" applyNumberFormat="1" applyFont="1" applyFill="1" applyBorder="1" applyAlignment="1">
      <alignment horizontal="center" vertical="top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164" fontId="32" fillId="0" borderId="10" xfId="0" applyNumberFormat="1" applyFont="1" applyFill="1" applyBorder="1" applyAlignment="1">
      <alignment vertical="top"/>
    </xf>
    <xf numFmtId="0" fontId="31" fillId="0" borderId="11" xfId="0" applyFont="1" applyFill="1" applyBorder="1" applyAlignment="1">
      <alignment vertical="top"/>
    </xf>
    <xf numFmtId="49" fontId="32" fillId="0" borderId="5" xfId="0" applyNumberFormat="1" applyFont="1" applyFill="1" applyBorder="1" applyAlignment="1">
      <alignment horizontal="center" vertical="top"/>
    </xf>
    <xf numFmtId="0" fontId="32" fillId="0" borderId="5" xfId="0" applyFont="1" applyFill="1" applyBorder="1" applyAlignment="1">
      <alignment horizontal="left" vertical="top" wrapText="1"/>
    </xf>
    <xf numFmtId="4" fontId="32" fillId="0" borderId="0" xfId="0" applyNumberFormat="1" applyFont="1" applyFill="1" applyBorder="1" applyAlignment="1">
      <alignment horizontal="center" vertical="center"/>
    </xf>
    <xf numFmtId="49" fontId="32" fillId="0" borderId="8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4" fontId="31" fillId="0" borderId="12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left"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165" fontId="31" fillId="0" borderId="7" xfId="0" applyNumberFormat="1" applyFont="1" applyFill="1" applyBorder="1" applyAlignment="1">
      <alignment horizontal="left" vertical="center"/>
    </xf>
    <xf numFmtId="165" fontId="32" fillId="0" borderId="6" xfId="0" applyNumberFormat="1" applyFont="1" applyFill="1" applyBorder="1" applyAlignment="1">
      <alignment horizontal="center" vertical="top"/>
    </xf>
    <xf numFmtId="165" fontId="31" fillId="0" borderId="5" xfId="0" applyNumberFormat="1" applyFont="1" applyFill="1" applyBorder="1" applyAlignment="1">
      <alignment horizontal="center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4" fontId="31" fillId="0" borderId="8" xfId="0" applyNumberFormat="1" applyFont="1" applyFill="1" applyBorder="1" applyAlignment="1">
      <alignment horizontal="center" vertical="top"/>
    </xf>
    <xf numFmtId="165" fontId="32" fillId="0" borderId="2" xfId="0" applyNumberFormat="1" applyFont="1" applyFill="1" applyBorder="1" applyAlignment="1">
      <alignment horizontal="center" vertical="top" wrapText="1"/>
    </xf>
    <xf numFmtId="165" fontId="33" fillId="0" borderId="6" xfId="0" applyNumberFormat="1" applyFont="1" applyFill="1" applyBorder="1" applyAlignment="1">
      <alignment horizontal="left" vertical="top" wrapText="1"/>
    </xf>
    <xf numFmtId="165" fontId="31" fillId="0" borderId="1" xfId="0" applyNumberFormat="1" applyFont="1" applyFill="1" applyBorder="1" applyAlignment="1">
      <alignment horizontal="center" vertical="center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165" fontId="31" fillId="0" borderId="9" xfId="0" applyNumberFormat="1" applyFont="1" applyFill="1" applyBorder="1" applyAlignment="1">
      <alignment horizontal="left" vertical="center"/>
    </xf>
    <xf numFmtId="165" fontId="31" fillId="0" borderId="6" xfId="0" applyNumberFormat="1" applyFont="1" applyFill="1" applyBorder="1" applyAlignment="1">
      <alignment horizontal="center" vertical="top" wrapText="1"/>
    </xf>
    <xf numFmtId="165" fontId="32" fillId="0" borderId="1" xfId="0" applyNumberFormat="1" applyFont="1" applyFill="1" applyBorder="1" applyAlignment="1">
      <alignment vertical="top" wrapText="1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165" fontId="32" fillId="0" borderId="0" xfId="0" applyNumberFormat="1" applyFont="1" applyFill="1" applyBorder="1" applyAlignment="1">
      <alignment horizontal="left" vertical="center" wrapText="1"/>
    </xf>
    <xf numFmtId="164" fontId="32" fillId="0" borderId="0" xfId="0" applyNumberFormat="1" applyFont="1" applyFill="1" applyBorder="1" applyAlignment="1">
      <alignment horizontal="right" vertical="center" shrinkToFit="1"/>
    </xf>
    <xf numFmtId="164" fontId="32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right" shrinkToFit="1"/>
    </xf>
    <xf numFmtId="0" fontId="31" fillId="0" borderId="0" xfId="0" applyFont="1" applyFill="1" applyAlignment="1"/>
    <xf numFmtId="0" fontId="31" fillId="0" borderId="0" xfId="0" applyFont="1" applyFill="1" applyAlignment="1">
      <alignment horizontal="left"/>
    </xf>
    <xf numFmtId="164" fontId="32" fillId="0" borderId="0" xfId="0" applyNumberFormat="1" applyFont="1" applyFill="1" applyBorder="1" applyAlignment="1">
      <alignment horizontal="left" vertical="top" shrinkToFit="1"/>
    </xf>
    <xf numFmtId="49" fontId="31" fillId="0" borderId="0" xfId="0" applyNumberFormat="1" applyFont="1" applyFill="1" applyAlignment="1">
      <alignment horizontal="left"/>
    </xf>
    <xf numFmtId="164" fontId="31" fillId="0" borderId="0" xfId="0" applyNumberFormat="1" applyFont="1" applyFill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Alignment="1">
      <alignment horizontal="left" vertical="top"/>
    </xf>
    <xf numFmtId="0" fontId="33" fillId="0" borderId="0" xfId="0" applyFont="1" applyFill="1" applyAlignment="1">
      <alignment horizontal="center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65" fontId="31" fillId="0" borderId="8" xfId="0" applyNumberFormat="1" applyFont="1" applyFill="1" applyBorder="1" applyAlignment="1">
      <alignment horizontal="left" vertical="top" wrapText="1"/>
    </xf>
    <xf numFmtId="1" fontId="32" fillId="0" borderId="1" xfId="0" applyNumberFormat="1" applyFont="1" applyFill="1" applyBorder="1" applyAlignment="1">
      <alignment horizontal="center" vertical="top"/>
    </xf>
    <xf numFmtId="4" fontId="2" fillId="3" borderId="0" xfId="0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4" fontId="31" fillId="0" borderId="12" xfId="0" applyNumberFormat="1" applyFont="1" applyFill="1" applyBorder="1" applyAlignment="1">
      <alignment horizontal="center" vertical="top" wrapText="1"/>
    </xf>
    <xf numFmtId="0" fontId="31" fillId="0" borderId="21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0" fontId="31" fillId="0" borderId="12" xfId="0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left" vertical="top"/>
    </xf>
    <xf numFmtId="0" fontId="31" fillId="0" borderId="7" xfId="0" applyFont="1" applyFill="1" applyBorder="1" applyAlignment="1">
      <alignment horizontal="left" vertical="center"/>
    </xf>
    <xf numFmtId="0" fontId="31" fillId="0" borderId="9" xfId="0" applyFont="1" applyFill="1" applyBorder="1" applyAlignment="1">
      <alignment horizontal="left" vertical="center"/>
    </xf>
    <xf numFmtId="4" fontId="31" fillId="0" borderId="11" xfId="0" applyNumberFormat="1" applyFont="1" applyFill="1" applyBorder="1" applyAlignment="1">
      <alignment horizontal="center" vertical="center" wrapText="1"/>
    </xf>
    <xf numFmtId="4" fontId="31" fillId="0" borderId="21" xfId="0" applyNumberFormat="1" applyFont="1" applyFill="1" applyBorder="1" applyAlignment="1">
      <alignment horizontal="center" vertical="center" wrapText="1"/>
    </xf>
    <xf numFmtId="4" fontId="31" fillId="0" borderId="12" xfId="0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165" fontId="32" fillId="0" borderId="5" xfId="0" applyNumberFormat="1" applyFont="1" applyFill="1" applyBorder="1" applyAlignment="1">
      <alignment horizontal="center" vertical="top"/>
    </xf>
    <xf numFmtId="165" fontId="32" fillId="0" borderId="6" xfId="0" applyNumberFormat="1" applyFont="1" applyFill="1" applyBorder="1" applyAlignment="1">
      <alignment horizontal="center" vertical="top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2" fontId="31" fillId="0" borderId="11" xfId="0" applyNumberFormat="1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horizontal="right" vertical="top" shrinkToFit="1"/>
    </xf>
    <xf numFmtId="164" fontId="31" fillId="0" borderId="6" xfId="0" applyNumberFormat="1" applyFont="1" applyFill="1" applyBorder="1" applyAlignment="1">
      <alignment horizontal="right" vertical="top" shrinkToFit="1"/>
    </xf>
    <xf numFmtId="0" fontId="22" fillId="0" borderId="0" xfId="0" applyFont="1" applyFill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center" vertical="top" wrapText="1"/>
    </xf>
    <xf numFmtId="164" fontId="32" fillId="0" borderId="8" xfId="0" applyNumberFormat="1" applyFont="1" applyFill="1" applyBorder="1" applyAlignment="1">
      <alignment horizontal="center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4" fontId="31" fillId="0" borderId="8" xfId="0" applyNumberFormat="1" applyFont="1" applyFill="1" applyBorder="1" applyAlignment="1">
      <alignment horizontal="center" vertical="top" shrinkToFit="1"/>
    </xf>
    <xf numFmtId="164" fontId="31" fillId="0" borderId="6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164" fontId="32" fillId="0" borderId="5" xfId="0" applyNumberFormat="1" applyFont="1" applyFill="1" applyBorder="1" applyAlignment="1">
      <alignment horizontal="center" vertical="top" shrinkToFit="1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4" fontId="31" fillId="0" borderId="9" xfId="0" applyNumberFormat="1" applyFont="1" applyFill="1" applyBorder="1" applyAlignment="1">
      <alignment horizontal="center" vertical="center"/>
    </xf>
    <xf numFmtId="164" fontId="32" fillId="0" borderId="5" xfId="0" applyNumberFormat="1" applyFont="1" applyFill="1" applyBorder="1" applyAlignment="1">
      <alignment horizontal="center" vertical="top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/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center"/>
    </xf>
    <xf numFmtId="164" fontId="32" fillId="0" borderId="7" xfId="0" applyNumberFormat="1" applyFont="1" applyFill="1" applyBorder="1" applyAlignment="1">
      <alignment horizontal="right" vertical="top" shrinkToFit="1"/>
    </xf>
    <xf numFmtId="164" fontId="32" fillId="0" borderId="10" xfId="0" applyNumberFormat="1" applyFont="1" applyFill="1" applyBorder="1" applyAlignment="1">
      <alignment horizontal="right" vertical="top" shrinkToFit="1"/>
    </xf>
    <xf numFmtId="165" fontId="31" fillId="0" borderId="8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FF3300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592" t="s">
        <v>92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</row>
    <row r="2" spans="1:17" ht="34.5" customHeight="1">
      <c r="A2" s="592" t="s">
        <v>106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593" t="s">
        <v>17</v>
      </c>
      <c r="B4" s="593" t="s">
        <v>18</v>
      </c>
      <c r="C4" s="595" t="s">
        <v>19</v>
      </c>
      <c r="D4" s="596"/>
      <c r="E4" s="596"/>
      <c r="F4" s="597"/>
      <c r="G4" s="595" t="s">
        <v>0</v>
      </c>
      <c r="H4" s="596"/>
      <c r="I4" s="596"/>
      <c r="J4" s="597"/>
      <c r="K4" s="598" t="s">
        <v>86</v>
      </c>
      <c r="L4" s="593" t="s">
        <v>20</v>
      </c>
      <c r="M4" s="5" t="s">
        <v>88</v>
      </c>
      <c r="P4" s="72"/>
    </row>
    <row r="5" spans="1:17" s="5" customFormat="1" ht="28.5" customHeight="1">
      <c r="A5" s="594"/>
      <c r="B5" s="594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599"/>
      <c r="L5" s="594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590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590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590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590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06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06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590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590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590"/>
    </row>
    <row r="81" spans="1:16" ht="322.5" customHeight="1">
      <c r="A81" s="21" t="s">
        <v>31</v>
      </c>
      <c r="B81" s="609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610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610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610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610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610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610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610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00"/>
      <c r="C90" s="602"/>
      <c r="D90" s="602"/>
      <c r="E90" s="604"/>
      <c r="F90" s="602"/>
      <c r="G90" s="602"/>
      <c r="H90" s="602"/>
      <c r="I90" s="602"/>
      <c r="J90" s="602"/>
      <c r="K90" s="619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01"/>
      <c r="C91" s="603"/>
      <c r="D91" s="603"/>
      <c r="E91" s="605"/>
      <c r="F91" s="603"/>
      <c r="G91" s="603"/>
      <c r="H91" s="603"/>
      <c r="I91" s="603"/>
      <c r="J91" s="603"/>
      <c r="K91" s="620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15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16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607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608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608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608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611" t="s">
        <v>49</v>
      </c>
      <c r="B131" s="613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612"/>
      <c r="B132" s="614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617" t="s">
        <v>54</v>
      </c>
      <c r="B141" s="618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591" t="s">
        <v>110</v>
      </c>
      <c r="B153" s="591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78:P80"/>
    <mergeCell ref="A141:B141"/>
    <mergeCell ref="H90:H91"/>
    <mergeCell ref="I90:I91"/>
    <mergeCell ref="J90:J91"/>
    <mergeCell ref="K90:K91"/>
    <mergeCell ref="F90:F91"/>
    <mergeCell ref="G90:G91"/>
    <mergeCell ref="R97:R100"/>
    <mergeCell ref="B81:B88"/>
    <mergeCell ref="A131:A132"/>
    <mergeCell ref="B131:B132"/>
    <mergeCell ref="P95:P96"/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BR209"/>
  <sheetViews>
    <sheetView tabSelected="1" view="pageBreakPreview" zoomScale="60" zoomScaleNormal="70" workbookViewId="0">
      <pane ySplit="5" topLeftCell="A131" activePane="bottomLeft" state="frozen"/>
      <selection pane="bottomLeft" activeCell="R171" sqref="R171"/>
    </sheetView>
  </sheetViews>
  <sheetFormatPr defaultColWidth="9.140625" defaultRowHeight="19.5"/>
  <cols>
    <col min="1" max="1" width="7.5703125" style="394" customWidth="1"/>
    <col min="2" max="2" width="36.7109375" style="394" customWidth="1"/>
    <col min="3" max="3" width="17.5703125" style="397" customWidth="1"/>
    <col min="4" max="4" width="17" style="397" customWidth="1"/>
    <col min="5" max="5" width="16.7109375" style="397" customWidth="1"/>
    <col min="6" max="6" width="19.28515625" style="398" customWidth="1"/>
    <col min="7" max="7" width="16.85546875" style="397" customWidth="1"/>
    <col min="8" max="8" width="18.140625" style="397" customWidth="1"/>
    <col min="9" max="9" width="18.85546875" style="397" customWidth="1"/>
    <col min="10" max="10" width="17.5703125" style="398" customWidth="1"/>
    <col min="11" max="11" width="20.85546875" style="583" customWidth="1"/>
    <col min="12" max="12" width="141.42578125" style="394" customWidth="1"/>
    <col min="13" max="13" width="17.140625" style="389" hidden="1" customWidth="1"/>
    <col min="14" max="14" width="18.7109375" style="390" hidden="1" customWidth="1"/>
    <col min="15" max="15" width="17.140625" style="389" customWidth="1"/>
    <col min="16" max="16" width="16.85546875" style="391" customWidth="1"/>
    <col min="17" max="17" width="15.42578125" style="392" customWidth="1"/>
    <col min="18" max="18" width="13.28515625" style="393" customWidth="1"/>
    <col min="19" max="19" width="12.5703125" style="393" customWidth="1"/>
    <col min="20" max="20" width="15.5703125" style="393" customWidth="1"/>
    <col min="21" max="21" width="13.140625" style="393" customWidth="1"/>
    <col min="22" max="22" width="14.85546875" style="393" customWidth="1"/>
    <col min="23" max="23" width="21.85546875" style="393" customWidth="1"/>
    <col min="24" max="24" width="9.140625" style="393"/>
    <col min="25" max="25" width="11" style="393" customWidth="1"/>
    <col min="26" max="26" width="10.7109375" style="393" customWidth="1"/>
    <col min="27" max="29" width="9.140625" style="394"/>
    <col min="30" max="30" width="10.7109375" style="394" customWidth="1"/>
    <col min="31" max="34" width="9.140625" style="394"/>
    <col min="35" max="35" width="10.85546875" style="394" customWidth="1"/>
    <col min="36" max="36" width="13.85546875" style="394" customWidth="1"/>
    <col min="37" max="37" width="11.42578125" style="394" customWidth="1"/>
    <col min="38" max="39" width="9.140625" style="394"/>
    <col min="40" max="40" width="12.42578125" style="394" customWidth="1"/>
    <col min="41" max="69" width="9.140625" style="394"/>
    <col min="70" max="70" width="21.85546875" style="394" customWidth="1"/>
    <col min="71" max="16384" width="9.140625" style="394"/>
  </cols>
  <sheetData>
    <row r="1" spans="1:26" ht="33.75" customHeight="1">
      <c r="A1" s="657" t="s">
        <v>92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</row>
    <row r="2" spans="1:26" ht="34.5" customHeight="1">
      <c r="A2" s="657" t="s">
        <v>222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R2" s="395"/>
    </row>
    <row r="3" spans="1:26" ht="20.25" customHeight="1">
      <c r="A3" s="396"/>
      <c r="B3" s="396"/>
      <c r="K3" s="399"/>
      <c r="L3" s="400" t="s">
        <v>16</v>
      </c>
      <c r="R3" s="395"/>
      <c r="S3" s="395"/>
      <c r="T3" s="395"/>
    </row>
    <row r="4" spans="1:26" s="407" customFormat="1" ht="30" customHeight="1">
      <c r="A4" s="658" t="s">
        <v>17</v>
      </c>
      <c r="B4" s="658" t="s">
        <v>18</v>
      </c>
      <c r="C4" s="660" t="s">
        <v>19</v>
      </c>
      <c r="D4" s="661"/>
      <c r="E4" s="661"/>
      <c r="F4" s="662"/>
      <c r="G4" s="660" t="s">
        <v>0</v>
      </c>
      <c r="H4" s="661"/>
      <c r="I4" s="661"/>
      <c r="J4" s="662"/>
      <c r="K4" s="663" t="s">
        <v>356</v>
      </c>
      <c r="L4" s="658" t="s">
        <v>20</v>
      </c>
      <c r="M4" s="401"/>
      <c r="N4" s="402"/>
      <c r="O4" s="401"/>
      <c r="P4" s="403"/>
      <c r="Q4" s="404"/>
      <c r="R4" s="405"/>
      <c r="S4" s="405"/>
      <c r="T4" s="406"/>
      <c r="U4" s="406"/>
      <c r="V4" s="406"/>
      <c r="W4" s="406"/>
      <c r="X4" s="406"/>
      <c r="Y4" s="406"/>
      <c r="Z4" s="406"/>
    </row>
    <row r="5" spans="1:26" s="407" customFormat="1" ht="28.5" customHeight="1">
      <c r="A5" s="659"/>
      <c r="B5" s="659"/>
      <c r="C5" s="408" t="s">
        <v>21</v>
      </c>
      <c r="D5" s="408" t="s">
        <v>22</v>
      </c>
      <c r="E5" s="408" t="s">
        <v>23</v>
      </c>
      <c r="F5" s="408" t="s">
        <v>24</v>
      </c>
      <c r="G5" s="408" t="s">
        <v>21</v>
      </c>
      <c r="H5" s="408" t="s">
        <v>22</v>
      </c>
      <c r="I5" s="408" t="s">
        <v>23</v>
      </c>
      <c r="J5" s="408" t="s">
        <v>24</v>
      </c>
      <c r="K5" s="664"/>
      <c r="L5" s="659"/>
      <c r="M5" s="401"/>
      <c r="N5" s="402"/>
      <c r="O5" s="401"/>
      <c r="P5" s="403"/>
      <c r="Q5" s="404"/>
      <c r="R5" s="406"/>
      <c r="S5" s="405"/>
      <c r="T5" s="406"/>
      <c r="U5" s="406"/>
      <c r="V5" s="406"/>
      <c r="W5" s="406"/>
      <c r="X5" s="406"/>
      <c r="Y5" s="406"/>
      <c r="Z5" s="406"/>
    </row>
    <row r="6" spans="1:26" s="416" customFormat="1" ht="18.75" customHeight="1">
      <c r="A6" s="409">
        <v>1</v>
      </c>
      <c r="B6" s="410">
        <v>2</v>
      </c>
      <c r="C6" s="411">
        <v>3</v>
      </c>
      <c r="D6" s="411">
        <v>4</v>
      </c>
      <c r="E6" s="411">
        <v>5</v>
      </c>
      <c r="F6" s="411">
        <v>6</v>
      </c>
      <c r="G6" s="411">
        <v>7</v>
      </c>
      <c r="H6" s="411">
        <v>8</v>
      </c>
      <c r="I6" s="411">
        <v>9</v>
      </c>
      <c r="J6" s="411">
        <v>10</v>
      </c>
      <c r="K6" s="412">
        <v>11</v>
      </c>
      <c r="L6" s="410">
        <v>12</v>
      </c>
      <c r="M6" s="413"/>
      <c r="N6" s="414"/>
      <c r="O6" s="413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</row>
    <row r="7" spans="1:26" ht="387.75" customHeight="1">
      <c r="A7" s="417" t="s">
        <v>25</v>
      </c>
      <c r="B7" s="418" t="s">
        <v>90</v>
      </c>
      <c r="C7" s="419">
        <v>45729.7</v>
      </c>
      <c r="D7" s="420">
        <v>4208.1000000000004</v>
      </c>
      <c r="E7" s="420">
        <v>1188.5999999999999</v>
      </c>
      <c r="F7" s="420">
        <f>E7+D7+C7</f>
        <v>51126.399999999994</v>
      </c>
      <c r="G7" s="420">
        <v>37268.5</v>
      </c>
      <c r="H7" s="420">
        <v>4206.3</v>
      </c>
      <c r="I7" s="420">
        <v>1091.3</v>
      </c>
      <c r="J7" s="420">
        <f>G7+H7+I7</f>
        <v>42566.100000000006</v>
      </c>
      <c r="K7" s="421">
        <f>J7/F7*100</f>
        <v>83.256595418413994</v>
      </c>
      <c r="L7" s="388" t="s">
        <v>443</v>
      </c>
      <c r="M7" s="422">
        <f>124+19.3+165.3+19.3+120.9+200+182.6+220+220+183.4+183.4+120.9+111.8+2.3</f>
        <v>1873.2000000000003</v>
      </c>
      <c r="N7" s="631">
        <f>M7+M9+M10+M11+M12+M13+M14+M16</f>
        <v>21214.799999999999</v>
      </c>
      <c r="O7" s="642">
        <f>124+19.3+165.3+19.3+120.9+200+182.6+220+220+183.4+183.4+120.9+111.8+742.3+800+27.9+200+183.4+3.1+20</f>
        <v>3847.6000000000004</v>
      </c>
      <c r="P7" s="621">
        <f>O7+O9+O10</f>
        <v>7967</v>
      </c>
      <c r="Q7" s="423">
        <f>O7+O9+O10+O11+O12+O13+O14+O16</f>
        <v>42566.100000000006</v>
      </c>
      <c r="R7" s="424">
        <f>J7-Q7</f>
        <v>0</v>
      </c>
    </row>
    <row r="8" spans="1:26" ht="85.5" customHeight="1">
      <c r="A8" s="425"/>
      <c r="B8" s="426"/>
      <c r="C8" s="427"/>
      <c r="D8" s="428"/>
      <c r="E8" s="428"/>
      <c r="F8" s="428"/>
      <c r="G8" s="428"/>
      <c r="H8" s="428"/>
      <c r="I8" s="428"/>
      <c r="J8" s="428"/>
      <c r="K8" s="429"/>
      <c r="L8" s="430" t="s">
        <v>241</v>
      </c>
      <c r="M8" s="431"/>
      <c r="N8" s="632"/>
      <c r="O8" s="643"/>
      <c r="P8" s="622"/>
      <c r="Q8" s="391"/>
    </row>
    <row r="9" spans="1:26" ht="117" customHeight="1">
      <c r="A9" s="425"/>
      <c r="B9" s="426"/>
      <c r="C9" s="427"/>
      <c r="D9" s="428"/>
      <c r="E9" s="428"/>
      <c r="F9" s="428"/>
      <c r="G9" s="428"/>
      <c r="H9" s="428"/>
      <c r="I9" s="428"/>
      <c r="J9" s="428"/>
      <c r="K9" s="429"/>
      <c r="L9" s="430" t="s">
        <v>357</v>
      </c>
      <c r="M9" s="431">
        <f>35.7+815.5</f>
        <v>851.2</v>
      </c>
      <c r="N9" s="632"/>
      <c r="O9" s="431">
        <f>35.7+815.5</f>
        <v>851.2</v>
      </c>
      <c r="P9" s="622"/>
    </row>
    <row r="10" spans="1:26" ht="120" customHeight="1">
      <c r="A10" s="425"/>
      <c r="B10" s="426"/>
      <c r="C10" s="427"/>
      <c r="D10" s="428"/>
      <c r="E10" s="428"/>
      <c r="F10" s="428"/>
      <c r="G10" s="428"/>
      <c r="H10" s="428"/>
      <c r="I10" s="428"/>
      <c r="J10" s="428"/>
      <c r="K10" s="429"/>
      <c r="L10" s="430" t="s">
        <v>358</v>
      </c>
      <c r="M10" s="431">
        <f>486.3+2.1+203.8</f>
        <v>692.2</v>
      </c>
      <c r="N10" s="632"/>
      <c r="O10" s="432">
        <f>94.7+3173.5</f>
        <v>3268.2</v>
      </c>
      <c r="P10" s="623"/>
    </row>
    <row r="11" spans="1:26" ht="105.75" customHeight="1">
      <c r="A11" s="425"/>
      <c r="B11" s="426"/>
      <c r="C11" s="427"/>
      <c r="D11" s="428"/>
      <c r="E11" s="428"/>
      <c r="F11" s="428"/>
      <c r="G11" s="428"/>
      <c r="H11" s="428"/>
      <c r="I11" s="428"/>
      <c r="J11" s="428"/>
      <c r="K11" s="429"/>
      <c r="L11" s="430" t="s">
        <v>359</v>
      </c>
      <c r="M11" s="431">
        <v>30</v>
      </c>
      <c r="N11" s="632"/>
      <c r="O11" s="389">
        <f>30+3.9+4+120</f>
        <v>157.9</v>
      </c>
    </row>
    <row r="12" spans="1:26" ht="332.25" customHeight="1">
      <c r="A12" s="433"/>
      <c r="B12" s="434"/>
      <c r="C12" s="435"/>
      <c r="D12" s="436"/>
      <c r="E12" s="436"/>
      <c r="F12" s="428"/>
      <c r="G12" s="436"/>
      <c r="H12" s="436"/>
      <c r="I12" s="436"/>
      <c r="J12" s="428"/>
      <c r="K12" s="429"/>
      <c r="L12" s="437" t="s">
        <v>360</v>
      </c>
      <c r="M12" s="431">
        <f>4942.6+106+128.5+1407.2+951.4+64.6+90.4+3.2+4.5+156.4+146.1+10.2+3.3</f>
        <v>8014.4</v>
      </c>
      <c r="N12" s="632"/>
      <c r="O12" s="422">
        <f>6546.3+109.7+128.5+2033.7+114.6+64.6+126.8+3.2+4.5+247.1+1426.6+11.9+5.1</f>
        <v>10822.600000000002</v>
      </c>
      <c r="P12" s="621">
        <f>O12+O13+O14</f>
        <v>15212.800000000003</v>
      </c>
    </row>
    <row r="13" spans="1:26" ht="45.75" customHeight="1">
      <c r="A13" s="433"/>
      <c r="B13" s="434"/>
      <c r="C13" s="435"/>
      <c r="D13" s="436"/>
      <c r="E13" s="436"/>
      <c r="F13" s="428"/>
      <c r="G13" s="436"/>
      <c r="H13" s="436"/>
      <c r="I13" s="436"/>
      <c r="J13" s="428"/>
      <c r="K13" s="429"/>
      <c r="L13" s="437" t="s">
        <v>361</v>
      </c>
      <c r="M13" s="431">
        <v>146.30000000000001</v>
      </c>
      <c r="N13" s="632"/>
      <c r="O13" s="431">
        <v>195</v>
      </c>
      <c r="P13" s="622"/>
    </row>
    <row r="14" spans="1:26" ht="92.25" customHeight="1">
      <c r="A14" s="433"/>
      <c r="B14" s="434"/>
      <c r="C14" s="435"/>
      <c r="D14" s="436"/>
      <c r="E14" s="436"/>
      <c r="F14" s="428"/>
      <c r="G14" s="436"/>
      <c r="H14" s="436"/>
      <c r="I14" s="436"/>
      <c r="J14" s="428"/>
      <c r="K14" s="429"/>
      <c r="L14" s="437" t="s">
        <v>362</v>
      </c>
      <c r="M14" s="431">
        <f>562.7+169.9+1453.2+23.2+3+102.8+28+5.5+0.2</f>
        <v>2348.5</v>
      </c>
      <c r="N14" s="632"/>
      <c r="O14" s="432">
        <f>732.3+221.2+2863.1+125+4.1+112.5+131.3+5.5+0.2</f>
        <v>4195.2</v>
      </c>
      <c r="P14" s="623"/>
    </row>
    <row r="15" spans="1:26" ht="77.25" hidden="1" customHeight="1">
      <c r="A15" s="433"/>
      <c r="B15" s="434"/>
      <c r="C15" s="435"/>
      <c r="D15" s="436"/>
      <c r="E15" s="436"/>
      <c r="F15" s="428"/>
      <c r="G15" s="436"/>
      <c r="H15" s="436"/>
      <c r="I15" s="436"/>
      <c r="J15" s="428"/>
      <c r="K15" s="429"/>
      <c r="L15" s="437"/>
      <c r="M15" s="431"/>
      <c r="N15" s="632"/>
    </row>
    <row r="16" spans="1:26" ht="51" customHeight="1">
      <c r="A16" s="438"/>
      <c r="B16" s="434"/>
      <c r="C16" s="435"/>
      <c r="D16" s="439"/>
      <c r="E16" s="439"/>
      <c r="F16" s="440"/>
      <c r="G16" s="439"/>
      <c r="H16" s="439"/>
      <c r="I16" s="439"/>
      <c r="J16" s="440"/>
      <c r="K16" s="441"/>
      <c r="L16" s="442" t="s">
        <v>363</v>
      </c>
      <c r="M16" s="432">
        <v>7259</v>
      </c>
      <c r="N16" s="633"/>
      <c r="O16" s="389">
        <v>19228.400000000001</v>
      </c>
    </row>
    <row r="17" spans="1:20" ht="162" customHeight="1">
      <c r="A17" s="443" t="s">
        <v>26</v>
      </c>
      <c r="B17" s="444" t="s">
        <v>85</v>
      </c>
      <c r="C17" s="445">
        <v>1705</v>
      </c>
      <c r="D17" s="445">
        <v>1500</v>
      </c>
      <c r="E17" s="445">
        <v>0</v>
      </c>
      <c r="F17" s="445">
        <f>E17+D17+C17</f>
        <v>3205</v>
      </c>
      <c r="G17" s="445">
        <f>1703.1+0.1</f>
        <v>1703.1999999999998</v>
      </c>
      <c r="H17" s="445">
        <f>1466.5-0.1</f>
        <v>1466.4</v>
      </c>
      <c r="I17" s="445">
        <v>0</v>
      </c>
      <c r="J17" s="445">
        <f>SUM(G17:I17)</f>
        <v>3169.6</v>
      </c>
      <c r="K17" s="446">
        <f>J17/F17*100</f>
        <v>98.895475819032768</v>
      </c>
      <c r="L17" s="447" t="s">
        <v>364</v>
      </c>
      <c r="O17" s="389">
        <f>173.2+1466.4+30+1500</f>
        <v>3169.6000000000004</v>
      </c>
      <c r="P17" s="391">
        <f>J17-O17</f>
        <v>0</v>
      </c>
    </row>
    <row r="18" spans="1:20" ht="95.25" customHeight="1">
      <c r="A18" s="443" t="s">
        <v>27</v>
      </c>
      <c r="B18" s="448" t="s">
        <v>84</v>
      </c>
      <c r="C18" s="445">
        <f>C19+C58+C65</f>
        <v>410209.7</v>
      </c>
      <c r="D18" s="445">
        <f t="shared" ref="D18" si="0">D19+D58+D65</f>
        <v>805399</v>
      </c>
      <c r="E18" s="445">
        <f t="shared" ref="E18:J18" si="1">E19+E58+E65</f>
        <v>91801.2</v>
      </c>
      <c r="F18" s="445">
        <f t="shared" si="1"/>
        <v>1307409.8999999999</v>
      </c>
      <c r="G18" s="445">
        <f t="shared" si="1"/>
        <v>383195.3</v>
      </c>
      <c r="H18" s="445">
        <f t="shared" si="1"/>
        <v>785791.7</v>
      </c>
      <c r="I18" s="445">
        <f t="shared" si="1"/>
        <v>90644</v>
      </c>
      <c r="J18" s="445">
        <f t="shared" si="1"/>
        <v>1259631</v>
      </c>
      <c r="K18" s="446">
        <f>J18*100/F18</f>
        <v>96.345530196765381</v>
      </c>
      <c r="L18" s="449"/>
      <c r="O18" s="450"/>
    </row>
    <row r="19" spans="1:20" ht="156.75" customHeight="1">
      <c r="A19" s="451" t="s">
        <v>58</v>
      </c>
      <c r="B19" s="388" t="s">
        <v>33</v>
      </c>
      <c r="C19" s="452">
        <v>333311.7</v>
      </c>
      <c r="D19" s="452">
        <v>805399</v>
      </c>
      <c r="E19" s="452">
        <v>91801.2</v>
      </c>
      <c r="F19" s="453">
        <f>E19+D19+C19</f>
        <v>1230511.8999999999</v>
      </c>
      <c r="G19" s="452">
        <v>307541.5</v>
      </c>
      <c r="H19" s="452">
        <v>785791.7</v>
      </c>
      <c r="I19" s="452">
        <v>90644</v>
      </c>
      <c r="J19" s="453">
        <f>G19+H19+I19</f>
        <v>1183977.2</v>
      </c>
      <c r="K19" s="421">
        <f>J19*100/F19</f>
        <v>96.218264935105466</v>
      </c>
      <c r="L19" s="454" t="s">
        <v>444</v>
      </c>
      <c r="M19" s="422">
        <f>26980.6+43.6+157.3+9698.1+1438.9+583.6+2486.6+67.4+1200.4</f>
        <v>42656.5</v>
      </c>
      <c r="N19" s="654">
        <f>SUM(M19:M57)</f>
        <v>829670.5</v>
      </c>
      <c r="O19" s="455">
        <f>37282.57+65.93+239.01+12644.54+2137.95+731.41+3701.24+82.67+1864.81</f>
        <v>58750.13</v>
      </c>
      <c r="Q19" s="391"/>
    </row>
    <row r="20" spans="1:20" ht="79.5" hidden="1" customHeight="1">
      <c r="A20" s="433"/>
      <c r="B20" s="430"/>
      <c r="C20" s="456"/>
      <c r="D20" s="456"/>
      <c r="E20" s="456"/>
      <c r="F20" s="457"/>
      <c r="G20" s="456"/>
      <c r="H20" s="456"/>
      <c r="I20" s="456"/>
      <c r="J20" s="457"/>
      <c r="K20" s="429"/>
      <c r="L20" s="437" t="s">
        <v>93</v>
      </c>
      <c r="M20" s="431"/>
      <c r="N20" s="632"/>
    </row>
    <row r="21" spans="1:20" ht="70.5" customHeight="1">
      <c r="A21" s="433"/>
      <c r="B21" s="430"/>
      <c r="C21" s="456"/>
      <c r="D21" s="456"/>
      <c r="E21" s="456"/>
      <c r="F21" s="457"/>
      <c r="G21" s="456"/>
      <c r="H21" s="456"/>
      <c r="I21" s="456"/>
      <c r="J21" s="457"/>
      <c r="K21" s="429"/>
      <c r="L21" s="430" t="s">
        <v>365</v>
      </c>
      <c r="M21" s="431">
        <v>72.75</v>
      </c>
      <c r="N21" s="632"/>
      <c r="O21" s="389">
        <v>72.739999999999995</v>
      </c>
    </row>
    <row r="22" spans="1:20" ht="409.6" customHeight="1">
      <c r="A22" s="458"/>
      <c r="B22" s="430"/>
      <c r="C22" s="456"/>
      <c r="D22" s="456"/>
      <c r="E22" s="456"/>
      <c r="F22" s="457"/>
      <c r="G22" s="456"/>
      <c r="H22" s="456"/>
      <c r="I22" s="456"/>
      <c r="J22" s="457"/>
      <c r="K22" s="429"/>
      <c r="L22" s="430" t="s">
        <v>445</v>
      </c>
      <c r="M22" s="431">
        <f>106+199.1+122.1+138.3+23.4+8.4+161.6+130+55+37.9+4+9.5+3.8+122.4+40+2510.2+86.5+68.7+35+154.2+13.6+597.8+1133.3+1410.6+5+5</f>
        <v>7181.4</v>
      </c>
      <c r="N22" s="632"/>
      <c r="O22" s="647">
        <f>106+199.1+122.1+138.32+22.75+23.44+112.27+168.57+130+55+37.9+8+13+7.8+4+122.4+53.84+40+2510.2+165.44+80.98+35+154.2+13.6+12.3+597.85+1133.3+1410.6+5+5+52.45+167.91+24.24+21.73+50.2+96.6</f>
        <v>7901.09</v>
      </c>
      <c r="P22" s="630"/>
    </row>
    <row r="23" spans="1:20" ht="129.75" customHeight="1">
      <c r="A23" s="458"/>
      <c r="B23" s="430"/>
      <c r="C23" s="456"/>
      <c r="D23" s="456"/>
      <c r="E23" s="456"/>
      <c r="F23" s="457"/>
      <c r="G23" s="456"/>
      <c r="H23" s="456"/>
      <c r="I23" s="456"/>
      <c r="J23" s="457"/>
      <c r="K23" s="429"/>
      <c r="L23" s="430" t="s">
        <v>446</v>
      </c>
      <c r="M23" s="431"/>
      <c r="N23" s="632"/>
      <c r="O23" s="647"/>
      <c r="P23" s="630"/>
    </row>
    <row r="24" spans="1:20" hidden="1">
      <c r="A24" s="458"/>
      <c r="B24" s="430"/>
      <c r="C24" s="456"/>
      <c r="D24" s="456"/>
      <c r="E24" s="456"/>
      <c r="F24" s="457"/>
      <c r="G24" s="456"/>
      <c r="H24" s="456"/>
      <c r="I24" s="456"/>
      <c r="J24" s="457"/>
      <c r="K24" s="429"/>
      <c r="L24" s="430"/>
      <c r="M24" s="431"/>
      <c r="N24" s="632"/>
    </row>
    <row r="25" spans="1:20" ht="118.5" customHeight="1">
      <c r="A25" s="458"/>
      <c r="B25" s="430"/>
      <c r="C25" s="456"/>
      <c r="D25" s="456"/>
      <c r="E25" s="456"/>
      <c r="F25" s="457"/>
      <c r="G25" s="456"/>
      <c r="H25" s="456"/>
      <c r="I25" s="456"/>
      <c r="J25" s="457"/>
      <c r="K25" s="429"/>
      <c r="L25" s="430" t="s">
        <v>366</v>
      </c>
      <c r="M25" s="431">
        <f>97856.7+35.25+1347.53+947.24+28.09</f>
        <v>100214.81</v>
      </c>
      <c r="N25" s="632"/>
      <c r="O25" s="389">
        <f>139686.24+75.07+1815.9+694.18+605.96</f>
        <v>142877.34999999998</v>
      </c>
    </row>
    <row r="26" spans="1:20" ht="75" customHeight="1">
      <c r="A26" s="458"/>
      <c r="B26" s="430"/>
      <c r="C26" s="456"/>
      <c r="D26" s="456"/>
      <c r="E26" s="456"/>
      <c r="F26" s="457"/>
      <c r="G26" s="456"/>
      <c r="H26" s="456"/>
      <c r="I26" s="456"/>
      <c r="J26" s="457"/>
      <c r="K26" s="429"/>
      <c r="L26" s="437" t="s">
        <v>367</v>
      </c>
      <c r="M26" s="431">
        <f>2964.54+60.5</f>
        <v>3025.04</v>
      </c>
      <c r="N26" s="632"/>
      <c r="O26" s="389">
        <f>3202+65.35</f>
        <v>3267.35</v>
      </c>
    </row>
    <row r="27" spans="1:20" hidden="1">
      <c r="A27" s="458"/>
      <c r="B27" s="430"/>
      <c r="C27" s="456"/>
      <c r="D27" s="456"/>
      <c r="E27" s="456"/>
      <c r="F27" s="457"/>
      <c r="G27" s="456"/>
      <c r="H27" s="456"/>
      <c r="I27" s="456"/>
      <c r="J27" s="457"/>
      <c r="K27" s="429"/>
      <c r="L27" s="430"/>
      <c r="M27" s="431"/>
      <c r="N27" s="632"/>
    </row>
    <row r="28" spans="1:20" hidden="1">
      <c r="A28" s="458"/>
      <c r="B28" s="430"/>
      <c r="C28" s="456"/>
      <c r="D28" s="456"/>
      <c r="E28" s="456"/>
      <c r="F28" s="457"/>
      <c r="G28" s="456"/>
      <c r="H28" s="456"/>
      <c r="I28" s="456"/>
      <c r="J28" s="457"/>
      <c r="K28" s="429"/>
      <c r="L28" s="437"/>
      <c r="M28" s="431"/>
      <c r="N28" s="632"/>
    </row>
    <row r="29" spans="1:20" ht="150.75" customHeight="1">
      <c r="A29" s="458"/>
      <c r="B29" s="430"/>
      <c r="C29" s="456"/>
      <c r="D29" s="456"/>
      <c r="E29" s="456"/>
      <c r="F29" s="457"/>
      <c r="G29" s="456"/>
      <c r="H29" s="456"/>
      <c r="I29" s="456"/>
      <c r="J29" s="457"/>
      <c r="K29" s="429"/>
      <c r="L29" s="430" t="s">
        <v>447</v>
      </c>
      <c r="M29" s="431">
        <f>37256.75+165.4+1576.31+37236.23+36.3+7690.44+4011.3+7496.32+302.86+10829.39</f>
        <v>106601.30000000002</v>
      </c>
      <c r="N29" s="632"/>
      <c r="O29" s="389">
        <f>55647.13+248.47+2901.44+53065.86+197.69+12427.58+5193.37+11584.88+770.17+16904.28</f>
        <v>158940.87</v>
      </c>
    </row>
    <row r="30" spans="1:20" ht="63" hidden="1" customHeight="1">
      <c r="A30" s="458"/>
      <c r="B30" s="430"/>
      <c r="C30" s="456"/>
      <c r="D30" s="456"/>
      <c r="E30" s="456"/>
      <c r="F30" s="457"/>
      <c r="G30" s="456"/>
      <c r="H30" s="456"/>
      <c r="I30" s="456"/>
      <c r="J30" s="457"/>
      <c r="K30" s="429"/>
      <c r="L30" s="437"/>
      <c r="M30" s="431"/>
      <c r="N30" s="632"/>
    </row>
    <row r="31" spans="1:20" ht="129.75" customHeight="1">
      <c r="A31" s="458"/>
      <c r="B31" s="430"/>
      <c r="C31" s="456"/>
      <c r="D31" s="456"/>
      <c r="E31" s="456"/>
      <c r="F31" s="457"/>
      <c r="G31" s="456"/>
      <c r="H31" s="456"/>
      <c r="I31" s="456"/>
      <c r="J31" s="457"/>
      <c r="K31" s="429"/>
      <c r="L31" s="430" t="s">
        <v>368</v>
      </c>
      <c r="M31" s="431">
        <f>34.78+10+145.96+116.13</f>
        <v>306.87</v>
      </c>
      <c r="N31" s="632"/>
      <c r="O31" s="389">
        <f>34.78+5+5+145.96+116.13+599</f>
        <v>905.87</v>
      </c>
    </row>
    <row r="32" spans="1:20" ht="400.5" customHeight="1">
      <c r="A32" s="458"/>
      <c r="B32" s="430"/>
      <c r="C32" s="456"/>
      <c r="D32" s="456"/>
      <c r="E32" s="456"/>
      <c r="F32" s="457"/>
      <c r="G32" s="456"/>
      <c r="H32" s="456"/>
      <c r="I32" s="456"/>
      <c r="J32" s="457"/>
      <c r="K32" s="460"/>
      <c r="L32" s="461" t="s">
        <v>448</v>
      </c>
      <c r="M32" s="431">
        <f>538.42+136+23.1+70+599.99+58+282.39+4+4+18+13+13+70+140+70+50+70+70+1202.4+70+70+70+199.87+383.88+1+4+8.5+15+24.5+25+38.5+45+55.8+29.7+575.13+585.97+570.62+200+549.28+157.35+19.04+44.12</f>
        <v>7174.56</v>
      </c>
      <c r="N32" s="632"/>
      <c r="O32" s="389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40">
        <f>O32+O33+O34</f>
        <v>32317.16</v>
      </c>
      <c r="Q32" s="423">
        <v>32317.16</v>
      </c>
      <c r="R32" s="424">
        <f>Q32-P32</f>
        <v>0</v>
      </c>
      <c r="T32" s="424"/>
    </row>
    <row r="33" spans="1:70" ht="337.5" customHeight="1">
      <c r="A33" s="458"/>
      <c r="B33" s="430"/>
      <c r="C33" s="456"/>
      <c r="D33" s="456"/>
      <c r="E33" s="456"/>
      <c r="F33" s="457"/>
      <c r="G33" s="456"/>
      <c r="H33" s="456"/>
      <c r="I33" s="456"/>
      <c r="J33" s="457"/>
      <c r="K33" s="460"/>
      <c r="L33" s="461" t="s">
        <v>294</v>
      </c>
      <c r="M33" s="431">
        <f>24.12+10+50+40+68.6+39.5+90+753.8+862+2385.6+1506.59+531.05+4384.65+125.46+1980.45+2009.35+47.04+1145.2+1070+328.4+252.63+500+19.8</f>
        <v>18224.240000000005</v>
      </c>
      <c r="N33" s="632"/>
      <c r="O33" s="389">
        <f>215.91+125.68+80.97+300.99+157.35+19.04+44.12+39.5+90+37.15+753.84+418.34+861.99+2385.57+1506.59+734.63+4463.95+218.75+1980.45+22+409.5+43.69+10+50+40+50+68.61+39.15+4+4+18+13+13+19.04</f>
        <v>15238.810000000003</v>
      </c>
      <c r="P33" s="640"/>
      <c r="Q33" s="391"/>
      <c r="R33" s="462"/>
      <c r="S33" s="462"/>
      <c r="T33" s="462"/>
      <c r="U33" s="462"/>
      <c r="V33" s="462"/>
      <c r="W33" s="462"/>
      <c r="X33" s="462"/>
      <c r="Y33" s="462"/>
      <c r="Z33" s="462"/>
      <c r="AA33" s="390"/>
      <c r="AB33" s="390"/>
      <c r="AC33" s="390"/>
      <c r="AD33" s="390"/>
      <c r="AE33" s="390"/>
      <c r="AF33" s="390"/>
      <c r="AG33" s="390"/>
      <c r="AH33" s="390"/>
      <c r="AI33" s="390"/>
      <c r="AJ33" s="463"/>
      <c r="AK33" s="390"/>
      <c r="AL33" s="390"/>
      <c r="AM33" s="390"/>
      <c r="AN33" s="390"/>
      <c r="AO33" s="390"/>
      <c r="AP33" s="390"/>
      <c r="AQ33" s="390"/>
      <c r="AR33" s="390"/>
      <c r="AS33" s="390"/>
      <c r="AT33" s="390"/>
      <c r="AU33" s="390"/>
      <c r="AV33" s="390"/>
      <c r="AW33" s="390"/>
      <c r="AX33" s="390"/>
      <c r="AY33" s="390"/>
      <c r="AZ33" s="390"/>
      <c r="BA33" s="390"/>
      <c r="BB33" s="390"/>
      <c r="BC33" s="390"/>
      <c r="BD33" s="390"/>
      <c r="BE33" s="390"/>
      <c r="BF33" s="390"/>
      <c r="BG33" s="390"/>
      <c r="BH33" s="390"/>
      <c r="BI33" s="390"/>
      <c r="BJ33" s="390"/>
      <c r="BK33" s="390"/>
      <c r="BL33" s="390"/>
      <c r="BM33" s="390"/>
      <c r="BN33" s="390"/>
      <c r="BO33" s="390"/>
      <c r="BP33" s="390"/>
      <c r="BQ33" s="390"/>
      <c r="BR33" s="464"/>
    </row>
    <row r="34" spans="1:70" ht="357.75" customHeight="1">
      <c r="A34" s="458"/>
      <c r="B34" s="430"/>
      <c r="C34" s="456"/>
      <c r="D34" s="456"/>
      <c r="E34" s="456"/>
      <c r="F34" s="457"/>
      <c r="G34" s="456"/>
      <c r="H34" s="456"/>
      <c r="I34" s="456"/>
      <c r="J34" s="457"/>
      <c r="K34" s="460"/>
      <c r="L34" s="465" t="s">
        <v>449</v>
      </c>
      <c r="M34" s="431"/>
      <c r="N34" s="632"/>
      <c r="O34" s="389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40"/>
      <c r="Q34" s="391"/>
    </row>
    <row r="35" spans="1:70" s="393" customFormat="1" hidden="1">
      <c r="A35" s="458"/>
      <c r="B35" s="430"/>
      <c r="C35" s="456"/>
      <c r="D35" s="456"/>
      <c r="E35" s="456"/>
      <c r="F35" s="457"/>
      <c r="G35" s="456"/>
      <c r="H35" s="456"/>
      <c r="I35" s="456"/>
      <c r="J35" s="457"/>
      <c r="K35" s="460"/>
      <c r="L35" s="465"/>
      <c r="M35" s="431"/>
      <c r="N35" s="632"/>
      <c r="O35" s="389"/>
      <c r="P35" s="391"/>
      <c r="Q35" s="392"/>
    </row>
    <row r="36" spans="1:70" s="393" customFormat="1" hidden="1">
      <c r="A36" s="458"/>
      <c r="B36" s="430"/>
      <c r="C36" s="456"/>
      <c r="D36" s="456"/>
      <c r="E36" s="456"/>
      <c r="F36" s="457"/>
      <c r="G36" s="456"/>
      <c r="H36" s="456"/>
      <c r="I36" s="456"/>
      <c r="J36" s="457"/>
      <c r="K36" s="460"/>
      <c r="L36" s="461"/>
      <c r="M36" s="431"/>
      <c r="N36" s="632"/>
      <c r="O36" s="389"/>
      <c r="P36" s="391"/>
      <c r="Q36" s="392"/>
    </row>
    <row r="37" spans="1:70" s="393" customFormat="1" hidden="1">
      <c r="A37" s="458"/>
      <c r="B37" s="430"/>
      <c r="C37" s="456"/>
      <c r="D37" s="456"/>
      <c r="E37" s="456"/>
      <c r="F37" s="457"/>
      <c r="G37" s="456"/>
      <c r="H37" s="456"/>
      <c r="I37" s="456"/>
      <c r="J37" s="457"/>
      <c r="K37" s="460"/>
      <c r="L37" s="461"/>
      <c r="M37" s="431"/>
      <c r="N37" s="632"/>
      <c r="O37" s="389"/>
      <c r="P37" s="391"/>
      <c r="Q37" s="392"/>
    </row>
    <row r="38" spans="1:70" s="393" customFormat="1" ht="108" customHeight="1">
      <c r="A38" s="458"/>
      <c r="B38" s="430"/>
      <c r="C38" s="456"/>
      <c r="D38" s="456"/>
      <c r="E38" s="456"/>
      <c r="F38" s="457"/>
      <c r="G38" s="456"/>
      <c r="H38" s="456"/>
      <c r="I38" s="456"/>
      <c r="J38" s="457"/>
      <c r="K38" s="460"/>
      <c r="L38" s="461" t="s">
        <v>450</v>
      </c>
      <c r="M38" s="431">
        <v>27288.2</v>
      </c>
      <c r="N38" s="632"/>
      <c r="O38" s="389">
        <v>36195.71</v>
      </c>
      <c r="P38" s="391"/>
      <c r="Q38" s="392"/>
    </row>
    <row r="39" spans="1:70" s="393" customFormat="1" ht="107.25" customHeight="1">
      <c r="A39" s="458"/>
      <c r="B39" s="430"/>
      <c r="C39" s="456"/>
      <c r="D39" s="456"/>
      <c r="E39" s="456"/>
      <c r="F39" s="457"/>
      <c r="G39" s="456"/>
      <c r="H39" s="456"/>
      <c r="I39" s="456"/>
      <c r="J39" s="457"/>
      <c r="K39" s="460"/>
      <c r="L39" s="461" t="s">
        <v>369</v>
      </c>
      <c r="M39" s="431">
        <f>410725.05+98.83+2757.79+5476.13+2317.14</f>
        <v>421374.94</v>
      </c>
      <c r="N39" s="632"/>
      <c r="O39" s="389">
        <f>589563.22+167.52+4565.22+6898.8+2533.18</f>
        <v>603727.94000000006</v>
      </c>
      <c r="P39" s="391"/>
      <c r="Q39" s="392"/>
    </row>
    <row r="40" spans="1:70" s="393" customFormat="1" ht="54.75" customHeight="1">
      <c r="A40" s="458"/>
      <c r="B40" s="430"/>
      <c r="C40" s="456"/>
      <c r="D40" s="456"/>
      <c r="E40" s="456"/>
      <c r="F40" s="457"/>
      <c r="G40" s="456"/>
      <c r="H40" s="456"/>
      <c r="I40" s="456"/>
      <c r="J40" s="457"/>
      <c r="K40" s="460"/>
      <c r="L40" s="466" t="s">
        <v>451</v>
      </c>
      <c r="M40" s="431">
        <f>101.4+4971.2</f>
        <v>5072.5999999999995</v>
      </c>
      <c r="N40" s="632"/>
      <c r="O40" s="389">
        <f>7450.58+152.05</f>
        <v>7602.63</v>
      </c>
      <c r="P40" s="391"/>
      <c r="Q40" s="392"/>
    </row>
    <row r="41" spans="1:70" s="393" customFormat="1" ht="132.75" customHeight="1">
      <c r="A41" s="458"/>
      <c r="B41" s="430"/>
      <c r="C41" s="456"/>
      <c r="D41" s="456"/>
      <c r="E41" s="456"/>
      <c r="F41" s="457"/>
      <c r="G41" s="456"/>
      <c r="H41" s="456"/>
      <c r="I41" s="456"/>
      <c r="J41" s="457"/>
      <c r="K41" s="460"/>
      <c r="L41" s="461" t="s">
        <v>452</v>
      </c>
      <c r="M41" s="431">
        <f>9324.13+190.3</f>
        <v>9514.4299999999985</v>
      </c>
      <c r="N41" s="632"/>
      <c r="O41" s="389">
        <f>12349.54+252.03</f>
        <v>12601.570000000002</v>
      </c>
      <c r="P41" s="391"/>
      <c r="Q41" s="392"/>
    </row>
    <row r="42" spans="1:70" s="393" customFormat="1" ht="36" customHeight="1">
      <c r="A42" s="458"/>
      <c r="B42" s="430"/>
      <c r="C42" s="456"/>
      <c r="D42" s="456"/>
      <c r="E42" s="456"/>
      <c r="F42" s="457"/>
      <c r="G42" s="456"/>
      <c r="H42" s="456"/>
      <c r="I42" s="456"/>
      <c r="J42" s="457"/>
      <c r="K42" s="460"/>
      <c r="L42" s="467" t="s">
        <v>291</v>
      </c>
      <c r="M42" s="431">
        <f>1164.9+3143.7</f>
        <v>4308.6000000000004</v>
      </c>
      <c r="N42" s="632"/>
      <c r="O42" s="389">
        <f>1951.77+4551.01</f>
        <v>6502.7800000000007</v>
      </c>
      <c r="P42" s="391"/>
      <c r="Q42" s="392"/>
    </row>
    <row r="43" spans="1:70" s="393" customFormat="1" ht="31.5" customHeight="1">
      <c r="A43" s="458"/>
      <c r="B43" s="430"/>
      <c r="C43" s="456"/>
      <c r="D43" s="456"/>
      <c r="E43" s="456"/>
      <c r="F43" s="457"/>
      <c r="G43" s="456"/>
      <c r="H43" s="456"/>
      <c r="I43" s="456"/>
      <c r="J43" s="457"/>
      <c r="K43" s="460"/>
      <c r="L43" s="467" t="s">
        <v>476</v>
      </c>
      <c r="M43" s="431">
        <v>4.08</v>
      </c>
      <c r="N43" s="632"/>
      <c r="O43" s="389">
        <f>4+0.08</f>
        <v>4.08</v>
      </c>
      <c r="P43" s="391"/>
      <c r="Q43" s="392"/>
    </row>
    <row r="44" spans="1:70" s="393" customFormat="1" ht="55.5" customHeight="1">
      <c r="A44" s="458"/>
      <c r="B44" s="430"/>
      <c r="C44" s="456"/>
      <c r="D44" s="456"/>
      <c r="E44" s="456"/>
      <c r="F44" s="457"/>
      <c r="G44" s="456"/>
      <c r="H44" s="456"/>
      <c r="I44" s="456"/>
      <c r="J44" s="457"/>
      <c r="K44" s="460"/>
      <c r="L44" s="468" t="s">
        <v>453</v>
      </c>
      <c r="M44" s="431">
        <f>207.75+2056.75+18510.7</f>
        <v>20775.2</v>
      </c>
      <c r="N44" s="632"/>
      <c r="O44" s="389">
        <f>342.14+3387.23+30485.03</f>
        <v>34214.400000000001</v>
      </c>
      <c r="P44" s="391"/>
      <c r="Q44" s="392"/>
    </row>
    <row r="45" spans="1:70" s="393" customFormat="1" ht="50.25" hidden="1" customHeight="1">
      <c r="A45" s="458"/>
      <c r="B45" s="430"/>
      <c r="C45" s="456"/>
      <c r="D45" s="456"/>
      <c r="E45" s="456"/>
      <c r="F45" s="457"/>
      <c r="G45" s="456"/>
      <c r="H45" s="456"/>
      <c r="I45" s="456"/>
      <c r="J45" s="457"/>
      <c r="K45" s="460"/>
      <c r="L45" s="461"/>
      <c r="M45" s="431"/>
      <c r="N45" s="632"/>
      <c r="O45" s="389"/>
      <c r="P45" s="391"/>
      <c r="Q45" s="392"/>
    </row>
    <row r="46" spans="1:70" s="393" customFormat="1" ht="105" customHeight="1">
      <c r="A46" s="469"/>
      <c r="B46" s="430"/>
      <c r="C46" s="430"/>
      <c r="D46" s="430"/>
      <c r="E46" s="430"/>
      <c r="F46" s="430"/>
      <c r="G46" s="430"/>
      <c r="H46" s="430"/>
      <c r="I46" s="430"/>
      <c r="J46" s="430"/>
      <c r="K46" s="430"/>
      <c r="L46" s="461" t="s">
        <v>370</v>
      </c>
      <c r="M46" s="470">
        <f>7699.24+41.88+3+324.29+235.47+3.9+105.98+122.09</f>
        <v>8535.8499999999985</v>
      </c>
      <c r="N46" s="632"/>
      <c r="O46" s="389">
        <f>10768.9+61.62+3+333.25+435.48+7.21+194.52+320.8</f>
        <v>12124.779999999999</v>
      </c>
      <c r="P46" s="391"/>
      <c r="Q46" s="392"/>
    </row>
    <row r="47" spans="1:70" s="393" customFormat="1" ht="105" customHeight="1">
      <c r="A47" s="469"/>
      <c r="B47" s="430"/>
      <c r="C47" s="430"/>
      <c r="D47" s="430"/>
      <c r="E47" s="430"/>
      <c r="F47" s="430"/>
      <c r="G47" s="430"/>
      <c r="H47" s="430"/>
      <c r="I47" s="430"/>
      <c r="J47" s="430"/>
      <c r="K47" s="430"/>
      <c r="L47" s="461" t="s">
        <v>371</v>
      </c>
      <c r="M47" s="470">
        <f>20902.69+77.99+6.7+408.7+893.73+1030.36+7.39+187.57+368.06</f>
        <v>23883.190000000002</v>
      </c>
      <c r="N47" s="632"/>
      <c r="O47" s="389">
        <f>28540.41+114.57+6.7+529.71+1096.44+1301.77+8.96+185.4+539.86</f>
        <v>32323.82</v>
      </c>
      <c r="P47" s="391"/>
      <c r="Q47" s="392"/>
    </row>
    <row r="48" spans="1:70" s="393" customFormat="1" ht="82.5" customHeight="1">
      <c r="A48" s="469"/>
      <c r="B48" s="430"/>
      <c r="C48" s="456"/>
      <c r="D48" s="456"/>
      <c r="E48" s="456"/>
      <c r="F48" s="457"/>
      <c r="G48" s="456"/>
      <c r="H48" s="456"/>
      <c r="I48" s="456"/>
      <c r="J48" s="457"/>
      <c r="K48" s="460"/>
      <c r="L48" s="461" t="s">
        <v>372</v>
      </c>
      <c r="M48" s="431">
        <f>29.75+247.5</f>
        <v>277.25</v>
      </c>
      <c r="N48" s="632"/>
      <c r="O48" s="389">
        <f>600.9+1.33+91.06+29.8+308.2+5.81</f>
        <v>1037.0999999999999</v>
      </c>
      <c r="P48" s="391"/>
      <c r="Q48" s="392"/>
    </row>
    <row r="49" spans="1:18" s="393" customFormat="1" ht="111.75" customHeight="1">
      <c r="A49" s="469"/>
      <c r="B49" s="430"/>
      <c r="C49" s="456"/>
      <c r="D49" s="456"/>
      <c r="E49" s="456"/>
      <c r="F49" s="457"/>
      <c r="G49" s="456"/>
      <c r="H49" s="456"/>
      <c r="I49" s="456"/>
      <c r="J49" s="457"/>
      <c r="K49" s="460"/>
      <c r="L49" s="471" t="s">
        <v>373</v>
      </c>
      <c r="M49" s="431">
        <f>1957.6+1957.6</f>
        <v>3915.2</v>
      </c>
      <c r="N49" s="472"/>
      <c r="O49" s="389">
        <f>2217.3+2217.3</f>
        <v>4434.6000000000004</v>
      </c>
      <c r="P49" s="391"/>
      <c r="Q49" s="392"/>
    </row>
    <row r="50" spans="1:18" s="393" customFormat="1" ht="134.25" customHeight="1">
      <c r="A50" s="469"/>
      <c r="B50" s="473"/>
      <c r="C50" s="474"/>
      <c r="D50" s="456"/>
      <c r="E50" s="475"/>
      <c r="F50" s="457"/>
      <c r="G50" s="456"/>
      <c r="H50" s="456"/>
      <c r="I50" s="456"/>
      <c r="J50" s="457"/>
      <c r="K50" s="460"/>
      <c r="L50" s="471" t="s">
        <v>454</v>
      </c>
      <c r="M50" s="431">
        <f>588+189.73+213.53+31.94</f>
        <v>1023.2</v>
      </c>
      <c r="N50" s="472"/>
      <c r="O50" s="389">
        <f>778.33+713.99+189.73+213.53+31.94+16.01+56.47</f>
        <v>2000.0000000000002</v>
      </c>
      <c r="P50" s="391"/>
      <c r="Q50" s="392"/>
    </row>
    <row r="51" spans="1:18" s="393" customFormat="1" ht="119.25" customHeight="1">
      <c r="A51" s="469"/>
      <c r="B51" s="473"/>
      <c r="C51" s="474"/>
      <c r="D51" s="456"/>
      <c r="E51" s="475"/>
      <c r="F51" s="457"/>
      <c r="G51" s="456"/>
      <c r="H51" s="456"/>
      <c r="I51" s="456"/>
      <c r="J51" s="457"/>
      <c r="K51" s="460"/>
      <c r="L51" s="471" t="s">
        <v>374</v>
      </c>
      <c r="M51" s="431">
        <f>12+3.9+4.4+0.7</f>
        <v>21</v>
      </c>
      <c r="N51" s="472"/>
      <c r="O51" s="389">
        <f>15.88+14.58+3.87+4.36+0.65+0.33+1.15</f>
        <v>40.819999999999993</v>
      </c>
      <c r="P51" s="391"/>
      <c r="Q51" s="392"/>
    </row>
    <row r="52" spans="1:18" s="393" customFormat="1" ht="187.5" customHeight="1">
      <c r="A52" s="469"/>
      <c r="B52" s="473"/>
      <c r="C52" s="474"/>
      <c r="D52" s="456"/>
      <c r="E52" s="475"/>
      <c r="F52" s="457"/>
      <c r="G52" s="456"/>
      <c r="H52" s="456"/>
      <c r="I52" s="456"/>
      <c r="J52" s="457"/>
      <c r="K52" s="460"/>
      <c r="L52" s="471" t="s">
        <v>375</v>
      </c>
      <c r="M52" s="431">
        <f>2191.07+2191.07+2191.07+2191.07+864.75+257.6+244.36+251.7+231.78+762.78+776.04+768.71</f>
        <v>12922.000000000004</v>
      </c>
      <c r="N52" s="472"/>
      <c r="O52" s="389">
        <f>3751.88+3751.88+3751.88+3751.88+1397.04+257.63+244.36+251.7+231.78+762.78+776.04+768.71+788.63</f>
        <v>20486.190000000002</v>
      </c>
      <c r="P52" s="391"/>
      <c r="Q52" s="392"/>
    </row>
    <row r="53" spans="1:18" s="393" customFormat="1" ht="98.25" customHeight="1">
      <c r="A53" s="469"/>
      <c r="B53" s="473"/>
      <c r="C53" s="474"/>
      <c r="D53" s="456"/>
      <c r="E53" s="475"/>
      <c r="F53" s="457"/>
      <c r="G53" s="456"/>
      <c r="H53" s="456"/>
      <c r="I53" s="456"/>
      <c r="J53" s="457"/>
      <c r="K53" s="476"/>
      <c r="L53" s="466" t="s">
        <v>376</v>
      </c>
      <c r="M53" s="477">
        <f>254.75+745.25</f>
        <v>1000</v>
      </c>
      <c r="N53" s="472"/>
      <c r="O53" s="389">
        <f>254.75+745.25</f>
        <v>1000</v>
      </c>
      <c r="P53" s="391"/>
      <c r="Q53" s="392"/>
    </row>
    <row r="54" spans="1:18" s="393" customFormat="1" ht="67.5" customHeight="1">
      <c r="A54" s="469"/>
      <c r="B54" s="473"/>
      <c r="C54" s="474"/>
      <c r="D54" s="456"/>
      <c r="E54" s="475"/>
      <c r="F54" s="457"/>
      <c r="G54" s="456"/>
      <c r="H54" s="456"/>
      <c r="I54" s="456"/>
      <c r="J54" s="457"/>
      <c r="K54" s="476"/>
      <c r="L54" s="466" t="s">
        <v>455</v>
      </c>
      <c r="M54" s="477">
        <f>5.2+15.21</f>
        <v>20.41</v>
      </c>
      <c r="N54" s="472"/>
      <c r="O54" s="389">
        <f>5.2+15.21</f>
        <v>20.41</v>
      </c>
      <c r="P54" s="391"/>
      <c r="Q54" s="392"/>
    </row>
    <row r="55" spans="1:18" s="393" customFormat="1" ht="109.5" customHeight="1">
      <c r="A55" s="469"/>
      <c r="B55" s="473"/>
      <c r="C55" s="474"/>
      <c r="D55" s="456"/>
      <c r="E55" s="475"/>
      <c r="F55" s="457"/>
      <c r="G55" s="456"/>
      <c r="H55" s="456"/>
      <c r="I55" s="456"/>
      <c r="J55" s="457"/>
      <c r="K55" s="476"/>
      <c r="L55" s="466" t="s">
        <v>377</v>
      </c>
      <c r="M55" s="477">
        <f>2290.4+964.34+42.6</f>
        <v>3297.34</v>
      </c>
      <c r="N55" s="472"/>
      <c r="O55" s="389">
        <f>2290.39+1023.13+43.78</f>
        <v>3357.3</v>
      </c>
      <c r="P55" s="391"/>
      <c r="Q55" s="392"/>
    </row>
    <row r="56" spans="1:18" s="393" customFormat="1" ht="143.25" customHeight="1">
      <c r="A56" s="469"/>
      <c r="B56" s="430"/>
      <c r="C56" s="456"/>
      <c r="D56" s="456"/>
      <c r="E56" s="456"/>
      <c r="F56" s="457"/>
      <c r="G56" s="456"/>
      <c r="H56" s="456"/>
      <c r="I56" s="456"/>
      <c r="J56" s="457"/>
      <c r="K56" s="476"/>
      <c r="L56" s="471" t="s">
        <v>378</v>
      </c>
      <c r="M56" s="478">
        <f>94.7+94.7+94.7+284.1+94.7+94.7+94.7+94.7</f>
        <v>947.00000000000023</v>
      </c>
      <c r="N56" s="479"/>
      <c r="O56" s="389">
        <f>94.7+94.7+94.7+284.1+94.7+94.7+94.7+94.7</f>
        <v>947.00000000000023</v>
      </c>
      <c r="P56" s="391"/>
      <c r="Q56" s="392"/>
    </row>
    <row r="57" spans="1:18" s="393" customFormat="1" ht="98.25" customHeight="1">
      <c r="A57" s="469"/>
      <c r="B57" s="430"/>
      <c r="C57" s="456"/>
      <c r="D57" s="456"/>
      <c r="E57" s="456"/>
      <c r="F57" s="457"/>
      <c r="G57" s="456"/>
      <c r="H57" s="456"/>
      <c r="I57" s="456"/>
      <c r="J57" s="457"/>
      <c r="K57" s="476"/>
      <c r="L57" s="480" t="s">
        <v>456</v>
      </c>
      <c r="M57" s="477">
        <f>32.21+0.33</f>
        <v>32.54</v>
      </c>
      <c r="N57" s="472"/>
      <c r="O57" s="389">
        <f>320.28+3.23</f>
        <v>323.51</v>
      </c>
      <c r="P57" s="391"/>
      <c r="Q57" s="392"/>
    </row>
    <row r="58" spans="1:18" s="393" customFormat="1" ht="103.5" customHeight="1">
      <c r="A58" s="451" t="s">
        <v>59</v>
      </c>
      <c r="B58" s="388" t="s">
        <v>1</v>
      </c>
      <c r="C58" s="481">
        <v>76619</v>
      </c>
      <c r="D58" s="481"/>
      <c r="E58" s="481"/>
      <c r="F58" s="420">
        <f>E58+D58+C58</f>
        <v>76619</v>
      </c>
      <c r="G58" s="481">
        <v>75394.600000000006</v>
      </c>
      <c r="H58" s="481"/>
      <c r="I58" s="481"/>
      <c r="J58" s="420">
        <f>I58+H58+G58</f>
        <v>75394.600000000006</v>
      </c>
      <c r="K58" s="421">
        <f>J58*100/F58</f>
        <v>98.401962959579222</v>
      </c>
      <c r="L58" s="430" t="s">
        <v>379</v>
      </c>
      <c r="M58" s="422">
        <f>10247+34.2+199.5+108+68.6+7.2+69.2</f>
        <v>10733.700000000003</v>
      </c>
      <c r="N58" s="631">
        <f>M58+M59+M60+M63+M64+M62</f>
        <v>49262</v>
      </c>
      <c r="O58" s="482">
        <f>14839.58+52.96+259.32+193.83+81.02+7.84+95.59</f>
        <v>15530.14</v>
      </c>
      <c r="P58" s="644">
        <f>O58+O59+O60+O62+O63+O64</f>
        <v>75394.599999999991</v>
      </c>
      <c r="Q58" s="483"/>
      <c r="R58" s="462"/>
    </row>
    <row r="59" spans="1:18" s="393" customFormat="1" ht="132" customHeight="1">
      <c r="A59" s="433"/>
      <c r="B59" s="430"/>
      <c r="C59" s="436"/>
      <c r="D59" s="436"/>
      <c r="E59" s="436"/>
      <c r="F59" s="428"/>
      <c r="G59" s="436"/>
      <c r="H59" s="436"/>
      <c r="I59" s="436"/>
      <c r="J59" s="428"/>
      <c r="K59" s="429"/>
      <c r="L59" s="430" t="s">
        <v>457</v>
      </c>
      <c r="M59" s="431">
        <f>11318.8+15.4+587.8+66.4+55.5+0.6+152</f>
        <v>12196.499999999998</v>
      </c>
      <c r="N59" s="632"/>
      <c r="O59" s="431">
        <f>15408+17.92+680.29+87.94+149.57+0.6+389.53+22.15+1125.9</f>
        <v>17881.900000000001</v>
      </c>
      <c r="P59" s="645"/>
      <c r="Q59" s="483"/>
      <c r="R59" s="462"/>
    </row>
    <row r="60" spans="1:18" s="393" customFormat="1" ht="114" customHeight="1">
      <c r="A60" s="433"/>
      <c r="B60" s="430"/>
      <c r="C60" s="436"/>
      <c r="D60" s="436"/>
      <c r="E60" s="436"/>
      <c r="F60" s="428"/>
      <c r="G60" s="436"/>
      <c r="H60" s="436"/>
      <c r="I60" s="436"/>
      <c r="J60" s="428"/>
      <c r="K60" s="429"/>
      <c r="L60" s="430" t="s">
        <v>380</v>
      </c>
      <c r="M60" s="431">
        <f>19359.5+18.3+691.4+174.5+655.2+0.1+0.4+353.6+42</f>
        <v>21295</v>
      </c>
      <c r="N60" s="632"/>
      <c r="O60" s="431">
        <f>28474.84+27.26+880.59+337.67+770.05+128.51+912.06+793.87+1837.17</f>
        <v>34162.019999999997</v>
      </c>
      <c r="P60" s="645"/>
      <c r="Q60" s="483"/>
      <c r="R60" s="462"/>
    </row>
    <row r="61" spans="1:18" s="393" customFormat="1" ht="42" hidden="1" customHeight="1">
      <c r="A61" s="433"/>
      <c r="B61" s="430"/>
      <c r="C61" s="436"/>
      <c r="D61" s="436"/>
      <c r="E61" s="436"/>
      <c r="F61" s="428"/>
      <c r="G61" s="436"/>
      <c r="H61" s="436"/>
      <c r="I61" s="436"/>
      <c r="J61" s="428"/>
      <c r="K61" s="429"/>
      <c r="L61" s="430" t="s">
        <v>94</v>
      </c>
      <c r="M61" s="431"/>
      <c r="N61" s="632"/>
      <c r="O61" s="431"/>
      <c r="P61" s="645"/>
      <c r="Q61" s="392"/>
    </row>
    <row r="62" spans="1:18" s="393" customFormat="1" ht="114.75" customHeight="1">
      <c r="A62" s="469"/>
      <c r="B62" s="430"/>
      <c r="C62" s="436"/>
      <c r="D62" s="436"/>
      <c r="E62" s="436"/>
      <c r="F62" s="428"/>
      <c r="G62" s="436"/>
      <c r="H62" s="436"/>
      <c r="I62" s="436"/>
      <c r="J62" s="428"/>
      <c r="K62" s="429"/>
      <c r="L62" s="430" t="s">
        <v>381</v>
      </c>
      <c r="M62" s="431">
        <f>566.1+8.5+39.9</f>
        <v>614.5</v>
      </c>
      <c r="N62" s="632"/>
      <c r="O62" s="431">
        <f>566.2+8.5+50+2.5</f>
        <v>627.20000000000005</v>
      </c>
      <c r="P62" s="645"/>
      <c r="Q62" s="392"/>
    </row>
    <row r="63" spans="1:18" s="393" customFormat="1" ht="108.75" customHeight="1">
      <c r="A63" s="469"/>
      <c r="B63" s="430"/>
      <c r="C63" s="436"/>
      <c r="D63" s="436"/>
      <c r="E63" s="436"/>
      <c r="F63" s="428"/>
      <c r="G63" s="436"/>
      <c r="H63" s="436"/>
      <c r="I63" s="436"/>
      <c r="J63" s="428"/>
      <c r="K63" s="429"/>
      <c r="L63" s="430" t="s">
        <v>382</v>
      </c>
      <c r="M63" s="431">
        <f>47+45+154.4</f>
        <v>246.4</v>
      </c>
      <c r="N63" s="632"/>
      <c r="O63" s="431">
        <f>81.19+45+214.35</f>
        <v>340.53999999999996</v>
      </c>
      <c r="P63" s="645"/>
      <c r="Q63" s="392"/>
    </row>
    <row r="64" spans="1:18" s="393" customFormat="1" ht="129" customHeight="1">
      <c r="A64" s="484"/>
      <c r="B64" s="485"/>
      <c r="C64" s="439"/>
      <c r="D64" s="486"/>
      <c r="E64" s="436"/>
      <c r="F64" s="428"/>
      <c r="G64" s="436"/>
      <c r="H64" s="436"/>
      <c r="I64" s="436"/>
      <c r="J64" s="428"/>
      <c r="K64" s="441"/>
      <c r="L64" s="430" t="s">
        <v>383</v>
      </c>
      <c r="M64" s="432">
        <v>4175.8999999999996</v>
      </c>
      <c r="N64" s="633"/>
      <c r="O64" s="432">
        <f>6597.4+6.5+5.4+188.6+54.9</f>
        <v>6852.7999999999993</v>
      </c>
      <c r="P64" s="646"/>
      <c r="Q64" s="392"/>
    </row>
    <row r="65" spans="1:17" s="393" customFormat="1" ht="327.75" customHeight="1">
      <c r="A65" s="487" t="s">
        <v>60</v>
      </c>
      <c r="B65" s="488" t="s">
        <v>36</v>
      </c>
      <c r="C65" s="489">
        <v>279</v>
      </c>
      <c r="D65" s="490"/>
      <c r="E65" s="489"/>
      <c r="F65" s="445">
        <f>E65+D65+C65</f>
        <v>279</v>
      </c>
      <c r="G65" s="489">
        <v>259.2</v>
      </c>
      <c r="H65" s="489"/>
      <c r="I65" s="489"/>
      <c r="J65" s="445">
        <f>I65+H65+G65</f>
        <v>259.2</v>
      </c>
      <c r="K65" s="446">
        <f>J65*100/F65</f>
        <v>92.903225806451616</v>
      </c>
      <c r="L65" s="388" t="s">
        <v>458</v>
      </c>
      <c r="M65" s="491">
        <f>1.1+1+15.3+25.9+33.1+20+7.5+8+21.3+39.4+0.5+8.9</f>
        <v>182.00000000000003</v>
      </c>
      <c r="N65" s="390"/>
      <c r="O65" s="389">
        <f>1.1+1+15.3+25.9+33.1+20+7.5+8+21.3+67.8+0.5+3+36+5.28+13.42</f>
        <v>259.2</v>
      </c>
      <c r="P65" s="391"/>
      <c r="Q65" s="392"/>
    </row>
    <row r="66" spans="1:17" s="393" customFormat="1" ht="327.75" hidden="1" customHeight="1">
      <c r="A66" s="451"/>
      <c r="B66" s="388"/>
      <c r="C66" s="481"/>
      <c r="D66" s="492"/>
      <c r="E66" s="481"/>
      <c r="F66" s="420"/>
      <c r="G66" s="481"/>
      <c r="H66" s="481"/>
      <c r="I66" s="481"/>
      <c r="J66" s="420"/>
      <c r="K66" s="421"/>
      <c r="L66" s="388"/>
      <c r="M66" s="389"/>
      <c r="N66" s="390"/>
      <c r="O66" s="389"/>
      <c r="P66" s="391"/>
      <c r="Q66" s="392"/>
    </row>
    <row r="67" spans="1:17" s="393" customFormat="1" ht="327.75" hidden="1" customHeight="1">
      <c r="A67" s="451"/>
      <c r="B67" s="388"/>
      <c r="C67" s="481"/>
      <c r="D67" s="492"/>
      <c r="E67" s="481"/>
      <c r="F67" s="420"/>
      <c r="G67" s="481"/>
      <c r="H67" s="481"/>
      <c r="I67" s="481"/>
      <c r="J67" s="420"/>
      <c r="K67" s="421"/>
      <c r="L67" s="388"/>
      <c r="M67" s="389"/>
      <c r="N67" s="390"/>
      <c r="O67" s="389"/>
      <c r="P67" s="391"/>
      <c r="Q67" s="392"/>
    </row>
    <row r="68" spans="1:17" s="393" customFormat="1" ht="376.5" customHeight="1">
      <c r="A68" s="648" t="s">
        <v>28</v>
      </c>
      <c r="B68" s="650" t="s">
        <v>83</v>
      </c>
      <c r="C68" s="652">
        <v>5742.7</v>
      </c>
      <c r="D68" s="652">
        <v>387.3</v>
      </c>
      <c r="E68" s="655"/>
      <c r="F68" s="687">
        <f>E68+D68+C68</f>
        <v>6130</v>
      </c>
      <c r="G68" s="420">
        <f>5463.4+0.1</f>
        <v>5463.5</v>
      </c>
      <c r="H68" s="420">
        <v>387.3</v>
      </c>
      <c r="I68" s="420"/>
      <c r="J68" s="420">
        <f>I68+H68+G68</f>
        <v>5850.8</v>
      </c>
      <c r="K68" s="421">
        <f>J68*100/F68</f>
        <v>95.445350734094617</v>
      </c>
      <c r="L68" s="388" t="s">
        <v>384</v>
      </c>
      <c r="M68" s="493">
        <f>3822.7+32.8+14+40.9</f>
        <v>3910.4</v>
      </c>
      <c r="N68" s="494"/>
      <c r="O68" s="422">
        <f>5079.7+12+4.5+16.4+147.1+106.4+60.2+4.5+31.4+25.1+167.6</f>
        <v>5654.9</v>
      </c>
      <c r="P68" s="634">
        <f>O68+O69</f>
        <v>5850.7999999999993</v>
      </c>
      <c r="Q68" s="621">
        <f>J68-P68</f>
        <v>0</v>
      </c>
    </row>
    <row r="69" spans="1:17" s="393" customFormat="1" ht="150.75" customHeight="1">
      <c r="A69" s="649"/>
      <c r="B69" s="651"/>
      <c r="C69" s="653"/>
      <c r="D69" s="653"/>
      <c r="E69" s="656"/>
      <c r="F69" s="688"/>
      <c r="G69" s="440"/>
      <c r="H69" s="440"/>
      <c r="I69" s="440"/>
      <c r="J69" s="440"/>
      <c r="K69" s="441"/>
      <c r="L69" s="485" t="s">
        <v>459</v>
      </c>
      <c r="M69" s="493"/>
      <c r="N69" s="494"/>
      <c r="O69" s="432">
        <f>11.9+15+14+29+13+26+24+20+18+25</f>
        <v>195.9</v>
      </c>
      <c r="P69" s="635"/>
      <c r="Q69" s="628"/>
    </row>
    <row r="70" spans="1:17" s="393" customFormat="1" ht="78">
      <c r="A70" s="417" t="s">
        <v>29</v>
      </c>
      <c r="B70" s="495" t="s">
        <v>82</v>
      </c>
      <c r="C70" s="445">
        <f>C71+C83+C98+C103+C105</f>
        <v>115857.59999999999</v>
      </c>
      <c r="D70" s="445">
        <f t="shared" ref="D70:J70" si="2">D71+D83+D98+D103+D105</f>
        <v>1464.8</v>
      </c>
      <c r="E70" s="445">
        <f t="shared" si="2"/>
        <v>134.6</v>
      </c>
      <c r="F70" s="445">
        <f>F71+F83+F98+F103+F105</f>
        <v>117457</v>
      </c>
      <c r="G70" s="440">
        <f>G71+G83+G98+G103+G105</f>
        <v>111691.69999999998</v>
      </c>
      <c r="H70" s="440">
        <f t="shared" si="2"/>
        <v>1464.7</v>
      </c>
      <c r="I70" s="440">
        <f t="shared" si="2"/>
        <v>134.6</v>
      </c>
      <c r="J70" s="440">
        <f t="shared" si="2"/>
        <v>113290.99999999999</v>
      </c>
      <c r="K70" s="441">
        <f>J70*100/F70</f>
        <v>96.453170096290535</v>
      </c>
      <c r="L70" s="485"/>
      <c r="M70" s="389"/>
      <c r="N70" s="390"/>
      <c r="O70" s="389"/>
      <c r="P70" s="391"/>
      <c r="Q70" s="392"/>
    </row>
    <row r="71" spans="1:17" s="393" customFormat="1" ht="409.6" customHeight="1">
      <c r="A71" s="487" t="s">
        <v>61</v>
      </c>
      <c r="B71" s="496" t="s">
        <v>3</v>
      </c>
      <c r="C71" s="489">
        <v>30010.799999999999</v>
      </c>
      <c r="D71" s="489"/>
      <c r="E71" s="489"/>
      <c r="F71" s="445">
        <f>E71+D71+C71</f>
        <v>30010.799999999999</v>
      </c>
      <c r="G71" s="489">
        <v>28801.4</v>
      </c>
      <c r="H71" s="489"/>
      <c r="I71" s="489"/>
      <c r="J71" s="445">
        <f>I71+H71+G71</f>
        <v>28801.4</v>
      </c>
      <c r="K71" s="446">
        <f>J71*100/F71</f>
        <v>95.970117424393891</v>
      </c>
      <c r="L71" s="447" t="s">
        <v>385</v>
      </c>
      <c r="M71" s="422">
        <f>10320.32+2957.91+31.2+3.5+63.39+1642.51+215.53+267.9+11.3+196.35+19.45+199+0.4+12.96+0.25+137.03</f>
        <v>16079</v>
      </c>
      <c r="N71" s="631">
        <f>M71+M72+M75+M78+M79</f>
        <v>19100</v>
      </c>
      <c r="O71" s="389">
        <f>14740.4+4224.8+36.95+3.5+88.7+2115.96+334.1+404.6+88.8+251.64+153.58+226.23+0.6+34.5+0.25+367.73+1164.16</f>
        <v>24236.499999999996</v>
      </c>
      <c r="P71" s="423">
        <f>O71+O72+O75+O78+O79</f>
        <v>28801.399999999998</v>
      </c>
      <c r="Q71" s="392"/>
    </row>
    <row r="72" spans="1:17" s="393" customFormat="1" ht="389.25" customHeight="1">
      <c r="A72" s="433"/>
      <c r="B72" s="461"/>
      <c r="C72" s="436"/>
      <c r="D72" s="436"/>
      <c r="E72" s="436"/>
      <c r="F72" s="428"/>
      <c r="G72" s="436"/>
      <c r="H72" s="436"/>
      <c r="I72" s="436"/>
      <c r="J72" s="428"/>
      <c r="K72" s="429"/>
      <c r="L72" s="430" t="s">
        <v>472</v>
      </c>
      <c r="M72" s="629">
        <f>1.5+27.08+10+35.78+384.4+34.9+8.1+9.84+4.31+150+4+7+3+6.65+6.96+37.52+4.42+9.9+17.92+3+10.45+25+10.39</f>
        <v>812.11999999999989</v>
      </c>
      <c r="N72" s="632"/>
      <c r="O72" s="629">
        <f>1.5+27.08+10+35.78+384.43+34.9+8.1+9.84+4.31+150+4+7+3+6.65+6.96+37.52+4.42+9.93+17.92+3+10.45+25+5+10.03+7.95+8.8+3+3.41+27.36+6.98+64.79+4.9+20.63+8.16+38.56+49.1+5.98</f>
        <v>1066.4399999999996</v>
      </c>
      <c r="P72" s="391"/>
      <c r="Q72" s="497"/>
    </row>
    <row r="73" spans="1:17" s="393" customFormat="1" ht="199.5" customHeight="1">
      <c r="A73" s="433"/>
      <c r="B73" s="461"/>
      <c r="C73" s="436"/>
      <c r="D73" s="436"/>
      <c r="E73" s="436"/>
      <c r="F73" s="428"/>
      <c r="G73" s="436"/>
      <c r="H73" s="436"/>
      <c r="I73" s="436"/>
      <c r="J73" s="428"/>
      <c r="K73" s="527"/>
      <c r="L73" s="430" t="s">
        <v>473</v>
      </c>
      <c r="M73" s="629"/>
      <c r="N73" s="632"/>
      <c r="O73" s="629"/>
      <c r="P73" s="459"/>
      <c r="Q73" s="538"/>
    </row>
    <row r="74" spans="1:17" s="393" customFormat="1" ht="231" customHeight="1">
      <c r="A74" s="433"/>
      <c r="B74" s="461"/>
      <c r="C74" s="436"/>
      <c r="D74" s="436"/>
      <c r="E74" s="436"/>
      <c r="F74" s="428"/>
      <c r="G74" s="436"/>
      <c r="H74" s="436"/>
      <c r="I74" s="436"/>
      <c r="J74" s="428"/>
      <c r="K74" s="429"/>
      <c r="L74" s="430" t="s">
        <v>474</v>
      </c>
      <c r="M74" s="629"/>
      <c r="N74" s="632"/>
      <c r="O74" s="629"/>
      <c r="P74" s="391"/>
      <c r="Q74" s="392"/>
    </row>
    <row r="75" spans="1:17" s="393" customFormat="1" ht="409.5" customHeight="1">
      <c r="A75" s="433"/>
      <c r="B75" s="461"/>
      <c r="C75" s="436"/>
      <c r="D75" s="436"/>
      <c r="E75" s="436"/>
      <c r="F75" s="428"/>
      <c r="G75" s="436"/>
      <c r="H75" s="436"/>
      <c r="I75" s="436"/>
      <c r="J75" s="428"/>
      <c r="K75" s="429"/>
      <c r="L75" s="689" t="s">
        <v>471</v>
      </c>
      <c r="M75" s="629">
        <f>1.5+19+4.75+9.74+9.94+3.6+43.83+180.03+138+45.67+129.1+15.81+16.84+6+11.3+10.56+10.39+7.28+73.51+2.5+5+751.26+2.85+70.25+142.64+30.53</f>
        <v>1741.8799999999994</v>
      </c>
      <c r="N75" s="632"/>
      <c r="O75" s="629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5" s="391"/>
      <c r="Q75" s="392"/>
    </row>
    <row r="76" spans="1:17" s="393" customFormat="1" ht="242.25" customHeight="1">
      <c r="A76" s="433"/>
      <c r="B76" s="461"/>
      <c r="C76" s="436"/>
      <c r="D76" s="436"/>
      <c r="E76" s="436"/>
      <c r="F76" s="428"/>
      <c r="G76" s="436"/>
      <c r="H76" s="436"/>
      <c r="I76" s="436"/>
      <c r="J76" s="428"/>
      <c r="K76" s="429"/>
      <c r="L76" s="689"/>
      <c r="M76" s="629"/>
      <c r="N76" s="632"/>
      <c r="O76" s="629"/>
      <c r="P76" s="391"/>
      <c r="Q76" s="392"/>
    </row>
    <row r="77" spans="1:17" s="393" customFormat="1" ht="250.5" customHeight="1">
      <c r="A77" s="433"/>
      <c r="B77" s="461"/>
      <c r="C77" s="436"/>
      <c r="D77" s="436"/>
      <c r="E77" s="436"/>
      <c r="F77" s="428"/>
      <c r="G77" s="436"/>
      <c r="H77" s="436"/>
      <c r="I77" s="436"/>
      <c r="J77" s="428"/>
      <c r="K77" s="429"/>
      <c r="L77" s="498" t="s">
        <v>267</v>
      </c>
      <c r="M77" s="499"/>
      <c r="N77" s="632"/>
      <c r="O77" s="629"/>
      <c r="P77" s="391"/>
      <c r="Q77" s="392"/>
    </row>
    <row r="78" spans="1:17" s="393" customFormat="1" ht="112.5" customHeight="1">
      <c r="A78" s="433"/>
      <c r="B78" s="461"/>
      <c r="C78" s="436"/>
      <c r="D78" s="436"/>
      <c r="E78" s="436"/>
      <c r="F78" s="428"/>
      <c r="G78" s="436"/>
      <c r="H78" s="436"/>
      <c r="I78" s="436"/>
      <c r="J78" s="428"/>
      <c r="K78" s="429"/>
      <c r="L78" s="500" t="s">
        <v>460</v>
      </c>
      <c r="M78" s="431">
        <f>89.1+121.9</f>
        <v>211</v>
      </c>
      <c r="N78" s="632"/>
      <c r="O78" s="389">
        <f>89.1+121.95+86.35</f>
        <v>297.39999999999998</v>
      </c>
      <c r="P78" s="391"/>
      <c r="Q78" s="392"/>
    </row>
    <row r="79" spans="1:17" s="393" customFormat="1" ht="198.75" customHeight="1">
      <c r="A79" s="433"/>
      <c r="B79" s="461"/>
      <c r="C79" s="436"/>
      <c r="D79" s="436"/>
      <c r="E79" s="436"/>
      <c r="F79" s="428"/>
      <c r="G79" s="436"/>
      <c r="H79" s="436"/>
      <c r="I79" s="436"/>
      <c r="J79" s="428"/>
      <c r="K79" s="429"/>
      <c r="L79" s="430" t="s">
        <v>386</v>
      </c>
      <c r="M79" s="432">
        <f>31.7+41.6+149.7+33</f>
        <v>256</v>
      </c>
      <c r="N79" s="633"/>
      <c r="O79" s="491">
        <f>31.7+41.58+149.67+33+23.3+146.25+37.5+105</f>
        <v>568</v>
      </c>
      <c r="P79" s="391"/>
      <c r="Q79" s="392"/>
    </row>
    <row r="80" spans="1:17" s="393" customFormat="1" ht="81.75" hidden="1" customHeight="1">
      <c r="A80" s="433"/>
      <c r="B80" s="461"/>
      <c r="C80" s="436"/>
      <c r="D80" s="436"/>
      <c r="E80" s="436"/>
      <c r="F80" s="428"/>
      <c r="G80" s="436"/>
      <c r="H80" s="436"/>
      <c r="I80" s="436"/>
      <c r="J80" s="428"/>
      <c r="K80" s="429"/>
      <c r="L80" s="437"/>
      <c r="M80" s="389"/>
      <c r="N80" s="390"/>
      <c r="O80" s="389"/>
      <c r="P80" s="391"/>
      <c r="Q80" s="392"/>
    </row>
    <row r="81" spans="1:17" s="393" customFormat="1" ht="132.75" hidden="1" customHeight="1">
      <c r="A81" s="433"/>
      <c r="B81" s="461"/>
      <c r="C81" s="436"/>
      <c r="D81" s="436"/>
      <c r="E81" s="436"/>
      <c r="F81" s="428"/>
      <c r="G81" s="436"/>
      <c r="H81" s="436"/>
      <c r="I81" s="436"/>
      <c r="J81" s="428"/>
      <c r="K81" s="429"/>
      <c r="L81" s="437"/>
      <c r="M81" s="389"/>
      <c r="N81" s="390"/>
      <c r="O81" s="389"/>
      <c r="P81" s="391"/>
      <c r="Q81" s="392"/>
    </row>
    <row r="82" spans="1:17" s="393" customFormat="1" ht="191.25" hidden="1" customHeight="1">
      <c r="A82" s="438"/>
      <c r="B82" s="461"/>
      <c r="C82" s="436"/>
      <c r="D82" s="436"/>
      <c r="E82" s="436"/>
      <c r="F82" s="428"/>
      <c r="G82" s="436"/>
      <c r="H82" s="436"/>
      <c r="I82" s="436"/>
      <c r="J82" s="428"/>
      <c r="K82" s="429"/>
      <c r="L82" s="485"/>
      <c r="M82" s="389"/>
      <c r="N82" s="390"/>
      <c r="O82" s="389"/>
      <c r="P82" s="391"/>
      <c r="Q82" s="392"/>
    </row>
    <row r="83" spans="1:17" s="393" customFormat="1" ht="368.25" customHeight="1">
      <c r="A83" s="451" t="s">
        <v>62</v>
      </c>
      <c r="B83" s="501" t="s">
        <v>2</v>
      </c>
      <c r="C83" s="481">
        <v>48425.9</v>
      </c>
      <c r="D83" s="481">
        <v>1464.8</v>
      </c>
      <c r="E83" s="481">
        <v>134.6</v>
      </c>
      <c r="F83" s="420">
        <f>E83+D83+C83</f>
        <v>50025.3</v>
      </c>
      <c r="G83" s="481">
        <v>47681.5</v>
      </c>
      <c r="H83" s="481">
        <v>1464.7</v>
      </c>
      <c r="I83" s="481">
        <v>134.6</v>
      </c>
      <c r="J83" s="420">
        <f>G83+I83+H83</f>
        <v>49280.799999999996</v>
      </c>
      <c r="K83" s="421">
        <f>J83*100/F83</f>
        <v>98.5117530529552</v>
      </c>
      <c r="L83" s="502" t="s">
        <v>387</v>
      </c>
      <c r="M83" s="422">
        <f>17176.33+4967.85+144.27+916.2+165.06+77.19+95.4+9.45+79.96+1.72+229.17</f>
        <v>23862.600000000002</v>
      </c>
      <c r="N83" s="636">
        <f>SUM(M83:M96)</f>
        <v>33273.600000000006</v>
      </c>
      <c r="O83" s="389">
        <f>24231.26+6638.19+211.86+1153.74+277.03+296.9+266.5+327.64+59.42+24.75+9.1+107.79+1.72+2178.3</f>
        <v>35784.199999999997</v>
      </c>
      <c r="P83" s="423">
        <f>O83+O84+O86+O87+O88+O89+O90+O91+O92+O95+O96+O97</f>
        <v>49280.800000000003</v>
      </c>
      <c r="Q83" s="423">
        <f>J83-P83</f>
        <v>0</v>
      </c>
    </row>
    <row r="84" spans="1:17" s="393" customFormat="1" ht="409.6" customHeight="1">
      <c r="A84" s="433"/>
      <c r="B84" s="503"/>
      <c r="C84" s="436"/>
      <c r="D84" s="436"/>
      <c r="E84" s="436"/>
      <c r="F84" s="428"/>
      <c r="G84" s="436"/>
      <c r="H84" s="436"/>
      <c r="I84" s="436"/>
      <c r="J84" s="428"/>
      <c r="K84" s="429"/>
      <c r="L84" s="504" t="s">
        <v>462</v>
      </c>
      <c r="M84" s="431">
        <f>26.5+31.34+50+9.37+30+524.58+0.83+234.4+7.3+91.5+93.9+77.8+4.08+4.59+200+39.99+35.96+14.71+11.97+117.28</f>
        <v>1606.1</v>
      </c>
      <c r="N84" s="641"/>
      <c r="O84" s="643">
        <f>26.5+31.34+50+9.37+30+524.58+0.83+234.4+7.3+91.5+93.9+77.8+4.08+4.59+200+39.99+35.96+14.71+11.97+43.54+144.38+108.2+34.1+61.8+37.03+1012.8+11.93+72.8</f>
        <v>3015.3999999999996</v>
      </c>
      <c r="P84" s="630"/>
      <c r="Q84" s="392"/>
    </row>
    <row r="85" spans="1:17" s="393" customFormat="1" ht="172.5" customHeight="1">
      <c r="A85" s="433"/>
      <c r="B85" s="503"/>
      <c r="C85" s="436"/>
      <c r="D85" s="436"/>
      <c r="E85" s="436"/>
      <c r="F85" s="428"/>
      <c r="G85" s="436"/>
      <c r="H85" s="436"/>
      <c r="I85" s="436"/>
      <c r="J85" s="428"/>
      <c r="K85" s="429"/>
      <c r="L85" s="498" t="s">
        <v>461</v>
      </c>
      <c r="M85" s="431"/>
      <c r="N85" s="641"/>
      <c r="O85" s="643"/>
      <c r="P85" s="630"/>
      <c r="Q85" s="392"/>
    </row>
    <row r="86" spans="1:17" s="393" customFormat="1" ht="70.5" customHeight="1">
      <c r="A86" s="433"/>
      <c r="B86" s="503"/>
      <c r="C86" s="436"/>
      <c r="D86" s="436"/>
      <c r="E86" s="436"/>
      <c r="F86" s="428"/>
      <c r="G86" s="436"/>
      <c r="H86" s="436"/>
      <c r="I86" s="436"/>
      <c r="J86" s="428"/>
      <c r="K86" s="429"/>
      <c r="L86" s="504" t="s">
        <v>388</v>
      </c>
      <c r="M86" s="431">
        <v>217.9</v>
      </c>
      <c r="N86" s="641"/>
      <c r="O86" s="389">
        <v>217.8</v>
      </c>
      <c r="P86" s="630"/>
      <c r="Q86" s="392"/>
    </row>
    <row r="87" spans="1:17" s="393" customFormat="1" ht="87.75" customHeight="1">
      <c r="A87" s="433"/>
      <c r="B87" s="503"/>
      <c r="C87" s="436"/>
      <c r="D87" s="436"/>
      <c r="E87" s="436"/>
      <c r="F87" s="428"/>
      <c r="G87" s="436"/>
      <c r="H87" s="436"/>
      <c r="I87" s="436"/>
      <c r="J87" s="428"/>
      <c r="K87" s="429"/>
      <c r="L87" s="505" t="s">
        <v>389</v>
      </c>
      <c r="M87" s="431">
        <f>97+873.41</f>
        <v>970.41</v>
      </c>
      <c r="N87" s="641"/>
      <c r="O87" s="389">
        <f>951+19.4</f>
        <v>970.4</v>
      </c>
      <c r="P87" s="630"/>
      <c r="Q87" s="392"/>
    </row>
    <row r="88" spans="1:17" s="393" customFormat="1" ht="78.75" customHeight="1">
      <c r="A88" s="433"/>
      <c r="B88" s="503"/>
      <c r="C88" s="436"/>
      <c r="D88" s="436"/>
      <c r="E88" s="436"/>
      <c r="F88" s="428"/>
      <c r="G88" s="436"/>
      <c r="H88" s="436"/>
      <c r="I88" s="436"/>
      <c r="J88" s="428"/>
      <c r="K88" s="429"/>
      <c r="L88" s="504" t="s">
        <v>390</v>
      </c>
      <c r="M88" s="431">
        <f>6.79+332.5</f>
        <v>339.29</v>
      </c>
      <c r="N88" s="641"/>
      <c r="O88" s="389">
        <f>10.2+498.7</f>
        <v>508.9</v>
      </c>
      <c r="P88" s="391"/>
      <c r="Q88" s="392"/>
    </row>
    <row r="89" spans="1:17" s="393" customFormat="1" ht="70.5" customHeight="1">
      <c r="A89" s="433"/>
      <c r="B89" s="503"/>
      <c r="C89" s="436"/>
      <c r="D89" s="436"/>
      <c r="E89" s="436"/>
      <c r="F89" s="428"/>
      <c r="G89" s="436"/>
      <c r="H89" s="436"/>
      <c r="I89" s="436"/>
      <c r="J89" s="428"/>
      <c r="K89" s="429"/>
      <c r="L89" s="505" t="s">
        <v>463</v>
      </c>
      <c r="M89" s="431">
        <f>3.1+15+134.6</f>
        <v>152.69999999999999</v>
      </c>
      <c r="N89" s="641"/>
      <c r="O89" s="389">
        <f>3.1+15+134.6</f>
        <v>152.69999999999999</v>
      </c>
      <c r="P89" s="391"/>
      <c r="Q89" s="392"/>
    </row>
    <row r="90" spans="1:17" s="393" customFormat="1" ht="381.75" customHeight="1">
      <c r="A90" s="433"/>
      <c r="B90" s="503"/>
      <c r="C90" s="436"/>
      <c r="D90" s="436"/>
      <c r="E90" s="436"/>
      <c r="F90" s="428"/>
      <c r="G90" s="436"/>
      <c r="H90" s="436"/>
      <c r="I90" s="436"/>
      <c r="J90" s="428"/>
      <c r="K90" s="429"/>
      <c r="L90" s="504" t="s">
        <v>391</v>
      </c>
      <c r="M90" s="431">
        <f>1835.14+527.19+26.66+204.47+102.85+134.34+113.93+144.55+19.09+28.5+12.89+0.09+4.37+24.43+1.13</f>
        <v>3179.6299999999997</v>
      </c>
      <c r="N90" s="641"/>
      <c r="O90" s="389">
        <f>2543.07+703.43+45.14+259.79+133.51+220.1+250.03+144.55+19.1+28.5+41.79+0.13+4.37+1.13+193.94+171.32</f>
        <v>4759.8999999999996</v>
      </c>
      <c r="P90" s="391"/>
      <c r="Q90" s="392"/>
    </row>
    <row r="91" spans="1:17" s="393" customFormat="1" ht="408.75" customHeight="1">
      <c r="A91" s="433"/>
      <c r="B91" s="503"/>
      <c r="C91" s="436"/>
      <c r="D91" s="436"/>
      <c r="E91" s="436"/>
      <c r="F91" s="428"/>
      <c r="G91" s="436"/>
      <c r="H91" s="436"/>
      <c r="I91" s="436"/>
      <c r="J91" s="428"/>
      <c r="K91" s="429"/>
      <c r="L91" s="504" t="s">
        <v>392</v>
      </c>
      <c r="M91" s="629">
        <f>3.46+13+2.4+20+4.5+11+50+5.1+10.5+2.1+500+220+32.66+8.85+25+2+22+22+5.4+24.6+8.4+17.03+27.61+1299.96+4.9+23.2+8+5.21+10.6+9.25+50.6</f>
        <v>2449.3299999999995</v>
      </c>
      <c r="N91" s="641"/>
      <c r="O91" s="389">
        <f>3.5+13+2.4+20+4.5+11+50+5.1+10.5+2.1+500+220+32.66+8.85+25+2+22+22+5.4</f>
        <v>960.01</v>
      </c>
      <c r="P91" s="630"/>
      <c r="Q91" s="497"/>
    </row>
    <row r="92" spans="1:17" s="393" customFormat="1" ht="399.75" customHeight="1">
      <c r="A92" s="433"/>
      <c r="B92" s="503"/>
      <c r="C92" s="436"/>
      <c r="D92" s="436"/>
      <c r="E92" s="436"/>
      <c r="F92" s="428"/>
      <c r="G92" s="436"/>
      <c r="H92" s="436"/>
      <c r="I92" s="436"/>
      <c r="J92" s="428"/>
      <c r="K92" s="429"/>
      <c r="L92" s="588" t="s">
        <v>475</v>
      </c>
      <c r="M92" s="629"/>
      <c r="N92" s="641"/>
      <c r="O92" s="629">
        <f>24.6+8.4+17.03+27.61+1299.96+4.9+23.2+8+5.21+10.6+9.25+119.42+9+14+50.25+264+258.32+9+6+5+19.3+3.44+1.5+2.5+2.56+0.04</f>
        <v>2203.0900000000006</v>
      </c>
      <c r="P92" s="630"/>
      <c r="Q92" s="506"/>
    </row>
    <row r="93" spans="1:17" s="393" customFormat="1" ht="27" hidden="1" customHeight="1">
      <c r="A93" s="433"/>
      <c r="B93" s="503"/>
      <c r="C93" s="436"/>
      <c r="D93" s="436"/>
      <c r="E93" s="436"/>
      <c r="F93" s="428"/>
      <c r="G93" s="436"/>
      <c r="H93" s="436"/>
      <c r="I93" s="436"/>
      <c r="J93" s="428"/>
      <c r="K93" s="429"/>
      <c r="L93" s="498"/>
      <c r="M93" s="431"/>
      <c r="N93" s="641"/>
      <c r="O93" s="629"/>
      <c r="P93" s="391"/>
      <c r="Q93" s="506"/>
    </row>
    <row r="94" spans="1:17" s="393" customFormat="1" ht="120" customHeight="1">
      <c r="A94" s="433"/>
      <c r="B94" s="503"/>
      <c r="C94" s="436"/>
      <c r="D94" s="436"/>
      <c r="E94" s="436"/>
      <c r="F94" s="428"/>
      <c r="G94" s="436"/>
      <c r="H94" s="436"/>
      <c r="I94" s="436"/>
      <c r="J94" s="428"/>
      <c r="K94" s="429"/>
      <c r="L94" s="498" t="s">
        <v>355</v>
      </c>
      <c r="M94" s="431"/>
      <c r="N94" s="641"/>
      <c r="O94" s="629"/>
      <c r="P94" s="391"/>
      <c r="Q94" s="506"/>
    </row>
    <row r="95" spans="1:17" s="393" customFormat="1" ht="131.25" customHeight="1">
      <c r="A95" s="433"/>
      <c r="B95" s="503"/>
      <c r="C95" s="436"/>
      <c r="D95" s="436"/>
      <c r="E95" s="436"/>
      <c r="F95" s="428"/>
      <c r="G95" s="436"/>
      <c r="H95" s="436"/>
      <c r="I95" s="436"/>
      <c r="J95" s="428"/>
      <c r="K95" s="429"/>
      <c r="L95" s="504" t="s">
        <v>393</v>
      </c>
      <c r="M95" s="432">
        <f>37.8+11.18+65+29.17+252.49</f>
        <v>395.64</v>
      </c>
      <c r="N95" s="637"/>
      <c r="O95" s="389">
        <f>75.6+22.3+72.1+29.2+252.5</f>
        <v>451.7</v>
      </c>
      <c r="P95" s="391"/>
      <c r="Q95" s="392"/>
    </row>
    <row r="96" spans="1:17" s="393" customFormat="1" ht="89.25" customHeight="1">
      <c r="A96" s="433"/>
      <c r="B96" s="507"/>
      <c r="C96" s="507"/>
      <c r="D96" s="507"/>
      <c r="E96" s="507"/>
      <c r="F96" s="507"/>
      <c r="G96" s="507"/>
      <c r="H96" s="507"/>
      <c r="I96" s="507"/>
      <c r="J96" s="507"/>
      <c r="K96" s="507"/>
      <c r="L96" s="504" t="s">
        <v>394</v>
      </c>
      <c r="M96" s="432">
        <v>100</v>
      </c>
      <c r="N96" s="508"/>
      <c r="O96" s="389">
        <v>100</v>
      </c>
      <c r="P96" s="391"/>
      <c r="Q96" s="392"/>
    </row>
    <row r="97" spans="1:19" s="393" customFormat="1" ht="107.25" customHeight="1">
      <c r="A97" s="438"/>
      <c r="B97" s="509"/>
      <c r="C97" s="509"/>
      <c r="D97" s="509"/>
      <c r="E97" s="509"/>
      <c r="F97" s="509"/>
      <c r="G97" s="509"/>
      <c r="H97" s="509"/>
      <c r="I97" s="509"/>
      <c r="J97" s="509"/>
      <c r="K97" s="509"/>
      <c r="L97" s="510" t="s">
        <v>395</v>
      </c>
      <c r="M97" s="431"/>
      <c r="N97" s="511"/>
      <c r="O97" s="389">
        <f>13.5+40.3+102.9</f>
        <v>156.69999999999999</v>
      </c>
      <c r="P97" s="391"/>
      <c r="Q97" s="392"/>
    </row>
    <row r="98" spans="1:19" s="393" customFormat="1" ht="69.75" customHeight="1">
      <c r="A98" s="451" t="s">
        <v>63</v>
      </c>
      <c r="B98" s="512" t="s">
        <v>4</v>
      </c>
      <c r="C98" s="481">
        <v>1988.3</v>
      </c>
      <c r="D98" s="481"/>
      <c r="E98" s="481"/>
      <c r="F98" s="420">
        <f>E98+D98+C98</f>
        <v>1988.3</v>
      </c>
      <c r="G98" s="481">
        <v>1978.9</v>
      </c>
      <c r="H98" s="481"/>
      <c r="I98" s="481"/>
      <c r="J98" s="420">
        <f>G98+H98+I98</f>
        <v>1978.9</v>
      </c>
      <c r="K98" s="421">
        <f>J98/F98*100</f>
        <v>99.527234320776543</v>
      </c>
      <c r="L98" s="388" t="s">
        <v>396</v>
      </c>
      <c r="M98" s="422">
        <v>342.5</v>
      </c>
      <c r="N98" s="636">
        <f>M98+M99+M102</f>
        <v>1366</v>
      </c>
      <c r="O98" s="389">
        <v>342.5</v>
      </c>
      <c r="P98" s="391"/>
      <c r="Q98" s="392">
        <f>O98+O99+O100+O101+O102</f>
        <v>1978.9</v>
      </c>
      <c r="R98" s="513">
        <f>J98-Q98</f>
        <v>0</v>
      </c>
    </row>
    <row r="99" spans="1:19" s="393" customFormat="1" ht="399.75" customHeight="1">
      <c r="A99" s="433"/>
      <c r="B99" s="514"/>
      <c r="C99" s="436"/>
      <c r="D99" s="436"/>
      <c r="E99" s="436"/>
      <c r="F99" s="428"/>
      <c r="G99" s="436"/>
      <c r="H99" s="436"/>
      <c r="I99" s="436"/>
      <c r="J99" s="428"/>
      <c r="K99" s="429"/>
      <c r="L99" s="498" t="s">
        <v>397</v>
      </c>
      <c r="M99" s="643">
        <f>10+15.25+20+7+113.65+24.6+7+6.1+30+3+7.2+6.1+11.19+3+6+15+3+7.72+15+5.6+96+33.16+109+4.23+10</f>
        <v>568.80000000000007</v>
      </c>
      <c r="N99" s="641"/>
      <c r="O99" s="389">
        <f>10+15.25+20+7+113.65+24.6+4.26+10+14.98+38.75+30+93.97+35+102.66+10.02</f>
        <v>530.14</v>
      </c>
      <c r="P99" s="630">
        <f>O99+O100+O101</f>
        <v>1069.7</v>
      </c>
      <c r="Q99" s="392"/>
    </row>
    <row r="100" spans="1:19" s="393" customFormat="1" ht="357.75" customHeight="1">
      <c r="A100" s="433"/>
      <c r="B100" s="514"/>
      <c r="C100" s="436"/>
      <c r="D100" s="436"/>
      <c r="E100" s="436"/>
      <c r="F100" s="428"/>
      <c r="G100" s="436"/>
      <c r="H100" s="436"/>
      <c r="I100" s="436"/>
      <c r="J100" s="428"/>
      <c r="K100" s="429"/>
      <c r="L100" s="498" t="s">
        <v>264</v>
      </c>
      <c r="M100" s="643"/>
      <c r="N100" s="641"/>
      <c r="O100" s="389">
        <f>7+6.1+30+3+7.2+6.1+11.2+3+6+15+3+7.72+15+5.6+96+22.72+109</f>
        <v>353.64</v>
      </c>
      <c r="P100" s="630"/>
      <c r="Q100" s="392"/>
    </row>
    <row r="101" spans="1:19" s="393" customFormat="1" ht="147" customHeight="1">
      <c r="A101" s="433"/>
      <c r="B101" s="514"/>
      <c r="C101" s="436"/>
      <c r="D101" s="436"/>
      <c r="E101" s="436"/>
      <c r="F101" s="428"/>
      <c r="G101" s="436"/>
      <c r="H101" s="436"/>
      <c r="I101" s="436"/>
      <c r="J101" s="428"/>
      <c r="K101" s="429"/>
      <c r="L101" s="498" t="s">
        <v>349</v>
      </c>
      <c r="M101" s="643"/>
      <c r="N101" s="641"/>
      <c r="O101" s="389">
        <f>40+10.6+26.04+4.6+13.11+76.6+14.97</f>
        <v>185.92</v>
      </c>
      <c r="P101" s="630"/>
      <c r="Q101" s="392"/>
    </row>
    <row r="102" spans="1:19" s="393" customFormat="1" ht="345.75" customHeight="1">
      <c r="A102" s="433"/>
      <c r="B102" s="514"/>
      <c r="C102" s="436"/>
      <c r="D102" s="436"/>
      <c r="E102" s="436"/>
      <c r="F102" s="428"/>
      <c r="G102" s="436"/>
      <c r="H102" s="436"/>
      <c r="I102" s="436"/>
      <c r="J102" s="428"/>
      <c r="K102" s="429"/>
      <c r="L102" s="437" t="s">
        <v>398</v>
      </c>
      <c r="M102" s="432">
        <f>10.5+49.69+121+128.33+10.31+25+35.9+14+25.97+30+4</f>
        <v>454.69999999999993</v>
      </c>
      <c r="N102" s="637"/>
      <c r="O102" s="389">
        <f>10.5+49.69+121+128.33+10.31+25+35.9+14+25.97+95+30+15+6</f>
        <v>566.69999999999993</v>
      </c>
      <c r="P102" s="391"/>
      <c r="Q102" s="392"/>
    </row>
    <row r="103" spans="1:19" s="393" customFormat="1" ht="235.5" customHeight="1">
      <c r="A103" s="451" t="s">
        <v>64</v>
      </c>
      <c r="B103" s="515" t="s">
        <v>38</v>
      </c>
      <c r="C103" s="481">
        <v>32671.7</v>
      </c>
      <c r="D103" s="481"/>
      <c r="E103" s="481"/>
      <c r="F103" s="420">
        <f>E103+D103+C103</f>
        <v>32671.7</v>
      </c>
      <c r="G103" s="481">
        <v>30588.5</v>
      </c>
      <c r="H103" s="481"/>
      <c r="I103" s="481"/>
      <c r="J103" s="420">
        <f>I103+H103+G103</f>
        <v>30588.5</v>
      </c>
      <c r="K103" s="421">
        <f>J103*100/F103</f>
        <v>93.623839592062851</v>
      </c>
      <c r="L103" s="388" t="s">
        <v>399</v>
      </c>
      <c r="M103" s="516">
        <f>3961.47+1099.01+16.81+7.7+268.76+8+3.5</f>
        <v>5365.25</v>
      </c>
      <c r="N103" s="636">
        <f>M103+M104</f>
        <v>22512.099999999995</v>
      </c>
      <c r="O103" s="422">
        <f>5157.87+1604.54+9.38+21.84+9.6+410.07+8+1+3.5</f>
        <v>7225.8</v>
      </c>
      <c r="P103" s="621">
        <f>O103+O104</f>
        <v>30588.499999999996</v>
      </c>
      <c r="Q103" s="630">
        <f>J103-P103</f>
        <v>0</v>
      </c>
    </row>
    <row r="104" spans="1:19" s="393" customFormat="1" ht="252" customHeight="1">
      <c r="A104" s="438"/>
      <c r="B104" s="517"/>
      <c r="C104" s="439"/>
      <c r="D104" s="439"/>
      <c r="E104" s="439"/>
      <c r="F104" s="440"/>
      <c r="G104" s="439"/>
      <c r="H104" s="439"/>
      <c r="I104" s="439"/>
      <c r="J104" s="440"/>
      <c r="K104" s="441"/>
      <c r="L104" s="485" t="s">
        <v>400</v>
      </c>
      <c r="M104" s="478">
        <f>12954.75+3628.12+59.06+114.09+161.69+8.42+185.54+5.76+3.73+25.69</f>
        <v>17146.849999999995</v>
      </c>
      <c r="N104" s="637"/>
      <c r="O104" s="432">
        <f>17006.24+5317.12+77.8+133.57+383.72+8.42+297.1+5.76+5.5+44.43+83.04</f>
        <v>23362.699999999997</v>
      </c>
      <c r="P104" s="623"/>
      <c r="Q104" s="630"/>
    </row>
    <row r="105" spans="1:19" s="393" customFormat="1" ht="223.5" customHeight="1">
      <c r="A105" s="433" t="s">
        <v>65</v>
      </c>
      <c r="B105" s="514" t="s">
        <v>6</v>
      </c>
      <c r="C105" s="436">
        <v>2760.9</v>
      </c>
      <c r="D105" s="436"/>
      <c r="E105" s="428"/>
      <c r="F105" s="428">
        <f>E105+D105+C105</f>
        <v>2760.9</v>
      </c>
      <c r="G105" s="436">
        <v>2641.4</v>
      </c>
      <c r="H105" s="436"/>
      <c r="I105" s="436"/>
      <c r="J105" s="428">
        <f>I105+H105+G105</f>
        <v>2641.4</v>
      </c>
      <c r="K105" s="429">
        <f>J105*100/F105</f>
        <v>95.671701256836542</v>
      </c>
      <c r="L105" s="430" t="s">
        <v>401</v>
      </c>
      <c r="M105" s="422">
        <f>957.78+275.7+12.5+2.4+20+4.1+28.1+24.82</f>
        <v>1325.3999999999999</v>
      </c>
      <c r="N105" s="638">
        <f>M105+M106</f>
        <v>1616.3999999999999</v>
      </c>
      <c r="O105" s="422">
        <f>1272.52+364.08+20.32+2.4+18.63+6.2+35.5+244.75+139</f>
        <v>2103.4</v>
      </c>
      <c r="P105" s="621">
        <f>O105+O106</f>
        <v>2641.4</v>
      </c>
      <c r="Q105" s="630">
        <f>J105-P105</f>
        <v>0</v>
      </c>
      <c r="R105" s="518"/>
    </row>
    <row r="106" spans="1:19" s="393" customFormat="1" ht="409.6" customHeight="1">
      <c r="A106" s="438"/>
      <c r="B106" s="519"/>
      <c r="C106" s="439"/>
      <c r="D106" s="520"/>
      <c r="E106" s="440"/>
      <c r="F106" s="440"/>
      <c r="G106" s="439"/>
      <c r="H106" s="439"/>
      <c r="I106" s="439"/>
      <c r="J106" s="440"/>
      <c r="K106" s="441"/>
      <c r="L106" s="485" t="s">
        <v>464</v>
      </c>
      <c r="M106" s="432">
        <f>14+2.4+54.98+38.74+28.8+11.2+50+31.8+37+21+1+0.08</f>
        <v>291</v>
      </c>
      <c r="N106" s="639"/>
      <c r="O106" s="521">
        <f>14+2.4+55+38.74+28.8+11.2+50+31.8+37+21+1+89.44+9.8+58.5+25.64+29.67+19+6.6+8.4+0.01</f>
        <v>538</v>
      </c>
      <c r="P106" s="623"/>
      <c r="Q106" s="686"/>
    </row>
    <row r="107" spans="1:19" s="393" customFormat="1" ht="274.5" customHeight="1">
      <c r="A107" s="417" t="s">
        <v>31</v>
      </c>
      <c r="B107" s="522" t="s">
        <v>72</v>
      </c>
      <c r="C107" s="420">
        <v>41324.199999999997</v>
      </c>
      <c r="D107" s="420">
        <v>63023.4</v>
      </c>
      <c r="E107" s="420">
        <v>13805</v>
      </c>
      <c r="F107" s="420">
        <f>E107+D107+C107</f>
        <v>118152.59999999999</v>
      </c>
      <c r="G107" s="420">
        <v>32834.5</v>
      </c>
      <c r="H107" s="523">
        <v>61733.3</v>
      </c>
      <c r="I107" s="420">
        <v>13805</v>
      </c>
      <c r="J107" s="420">
        <f>I107+H107+G107</f>
        <v>108372.8</v>
      </c>
      <c r="K107" s="421">
        <f>J107*100/F107</f>
        <v>91.722738221588017</v>
      </c>
      <c r="L107" s="524" t="s">
        <v>402</v>
      </c>
      <c r="M107" s="422">
        <f>9.5+8.4+6.5+9.05+13.64+6</f>
        <v>53.09</v>
      </c>
      <c r="N107" s="636">
        <f>M107+M108+M111+M112+M113+M114+M116+M118+M120</f>
        <v>50198.1</v>
      </c>
      <c r="O107" s="389">
        <f>9.5+8.4+6.5+9.05+16.14+36.53+8.3+9.1+11.6+4.21+29.47</f>
        <v>148.79999999999998</v>
      </c>
      <c r="P107" s="391"/>
      <c r="Q107" s="392">
        <f>O107+O108+O109+O110+O111+O112+O113+O114+O115+O116+O118+O119+O120</f>
        <v>108372.80000000002</v>
      </c>
      <c r="R107" s="391">
        <f>J107-Q107</f>
        <v>0</v>
      </c>
      <c r="S107" s="525"/>
    </row>
    <row r="108" spans="1:19" s="393" customFormat="1" ht="147" customHeight="1">
      <c r="A108" s="425"/>
      <c r="B108" s="471"/>
      <c r="C108" s="428"/>
      <c r="D108" s="428"/>
      <c r="E108" s="436"/>
      <c r="F108" s="428"/>
      <c r="G108" s="428"/>
      <c r="H108" s="428"/>
      <c r="I108" s="428"/>
      <c r="J108" s="428"/>
      <c r="K108" s="429"/>
      <c r="L108" s="437" t="s">
        <v>403</v>
      </c>
      <c r="M108" s="431">
        <f>3039.83+865.66+4.9+60.7</f>
        <v>3971.0899999999997</v>
      </c>
      <c r="N108" s="641"/>
      <c r="O108" s="389">
        <f>4466.1+1283.02+4.9+222.4</f>
        <v>5976.42</v>
      </c>
      <c r="P108" s="391"/>
      <c r="Q108" s="392"/>
    </row>
    <row r="109" spans="1:19" s="393" customFormat="1" ht="111" customHeight="1">
      <c r="A109" s="425"/>
      <c r="B109" s="471"/>
      <c r="C109" s="428"/>
      <c r="D109" s="428"/>
      <c r="E109" s="436"/>
      <c r="F109" s="428"/>
      <c r="G109" s="428"/>
      <c r="H109" s="428"/>
      <c r="I109" s="428"/>
      <c r="J109" s="428"/>
      <c r="K109" s="429"/>
      <c r="L109" s="437" t="s">
        <v>404</v>
      </c>
      <c r="M109" s="431"/>
      <c r="N109" s="641"/>
      <c r="O109" s="493">
        <f>3329.8+423.6</f>
        <v>3753.4</v>
      </c>
      <c r="P109" s="391"/>
      <c r="Q109" s="392"/>
    </row>
    <row r="110" spans="1:19" s="393" customFormat="1" ht="78" customHeight="1">
      <c r="A110" s="425"/>
      <c r="B110" s="471"/>
      <c r="C110" s="428"/>
      <c r="D110" s="428"/>
      <c r="E110" s="436"/>
      <c r="F110" s="428"/>
      <c r="G110" s="428"/>
      <c r="H110" s="428"/>
      <c r="I110" s="428"/>
      <c r="J110" s="428"/>
      <c r="K110" s="429"/>
      <c r="L110" s="437" t="s">
        <v>405</v>
      </c>
      <c r="M110" s="431"/>
      <c r="N110" s="641"/>
      <c r="O110" s="389">
        <f>67.95+8.65</f>
        <v>76.600000000000009</v>
      </c>
      <c r="P110" s="391"/>
      <c r="Q110" s="392"/>
    </row>
    <row r="111" spans="1:19" s="393" customFormat="1" ht="132.75" customHeight="1">
      <c r="A111" s="425"/>
      <c r="B111" s="471"/>
      <c r="C111" s="428"/>
      <c r="D111" s="428"/>
      <c r="E111" s="436"/>
      <c r="F111" s="428"/>
      <c r="G111" s="428"/>
      <c r="H111" s="428"/>
      <c r="I111" s="428"/>
      <c r="J111" s="428"/>
      <c r="K111" s="429"/>
      <c r="L111" s="437" t="s">
        <v>406</v>
      </c>
      <c r="M111" s="431">
        <f>24.48+150.98+85.98+85.98</f>
        <v>347.42</v>
      </c>
      <c r="N111" s="641"/>
      <c r="O111" s="389">
        <f>24.48+352.7+85.99+94.05+44.1</f>
        <v>601.32000000000005</v>
      </c>
      <c r="P111" s="391"/>
      <c r="Q111" s="392"/>
    </row>
    <row r="112" spans="1:19" s="393" customFormat="1" ht="84" customHeight="1">
      <c r="A112" s="425"/>
      <c r="B112" s="471"/>
      <c r="C112" s="428"/>
      <c r="D112" s="428"/>
      <c r="E112" s="436"/>
      <c r="F112" s="428"/>
      <c r="G112" s="428"/>
      <c r="H112" s="428"/>
      <c r="I112" s="428"/>
      <c r="J112" s="428"/>
      <c r="K112" s="429"/>
      <c r="L112" s="437" t="s">
        <v>407</v>
      </c>
      <c r="M112" s="431">
        <f>100+22.7</f>
        <v>122.7</v>
      </c>
      <c r="N112" s="641"/>
      <c r="O112" s="389">
        <f>100+50</f>
        <v>150</v>
      </c>
      <c r="P112" s="391"/>
      <c r="Q112" s="392"/>
    </row>
    <row r="113" spans="1:17" s="393" customFormat="1" ht="86.25" customHeight="1">
      <c r="A113" s="425"/>
      <c r="B113" s="471"/>
      <c r="C113" s="428"/>
      <c r="D113" s="428"/>
      <c r="E113" s="436"/>
      <c r="F113" s="428"/>
      <c r="G113" s="428"/>
      <c r="H113" s="428"/>
      <c r="I113" s="428"/>
      <c r="J113" s="428"/>
      <c r="K113" s="429"/>
      <c r="L113" s="437" t="s">
        <v>408</v>
      </c>
      <c r="M113" s="431">
        <f>47.67+1081.71+92.82</f>
        <v>1222.2</v>
      </c>
      <c r="N113" s="641"/>
      <c r="O113" s="389">
        <f>47.67+1664.17+92.82+156+428.32+143.65+6032.31+230</f>
        <v>8794.94</v>
      </c>
      <c r="P113" s="391"/>
      <c r="Q113" s="392"/>
    </row>
    <row r="114" spans="1:17" s="393" customFormat="1" ht="78.75" customHeight="1">
      <c r="A114" s="425"/>
      <c r="B114" s="471"/>
      <c r="C114" s="428"/>
      <c r="D114" s="428"/>
      <c r="E114" s="436"/>
      <c r="F114" s="428"/>
      <c r="G114" s="428"/>
      <c r="H114" s="428"/>
      <c r="I114" s="428"/>
      <c r="J114" s="428"/>
      <c r="K114" s="429"/>
      <c r="L114" s="500" t="s">
        <v>409</v>
      </c>
      <c r="M114" s="431">
        <v>510.2</v>
      </c>
      <c r="N114" s="641"/>
      <c r="O114" s="389">
        <f>10.2+500</f>
        <v>510.2</v>
      </c>
      <c r="P114" s="391"/>
      <c r="Q114" s="392"/>
    </row>
    <row r="115" spans="1:17" s="393" customFormat="1" ht="204.75" customHeight="1">
      <c r="A115" s="425"/>
      <c r="B115" s="471"/>
      <c r="C115" s="428"/>
      <c r="D115" s="428"/>
      <c r="E115" s="436"/>
      <c r="F115" s="428"/>
      <c r="G115" s="428"/>
      <c r="H115" s="428"/>
      <c r="I115" s="428"/>
      <c r="J115" s="428"/>
      <c r="K115" s="429"/>
      <c r="L115" s="500" t="s">
        <v>410</v>
      </c>
      <c r="M115" s="431"/>
      <c r="N115" s="641"/>
      <c r="O115" s="389">
        <f>223.59+39.95+127.74+862.61+9.09+344.78+20+193.54</f>
        <v>1821.3</v>
      </c>
      <c r="P115" s="391"/>
      <c r="Q115" s="392"/>
    </row>
    <row r="116" spans="1:17" s="393" customFormat="1" ht="409.6" customHeight="1">
      <c r="A116" s="469"/>
      <c r="B116" s="471"/>
      <c r="C116" s="428"/>
      <c r="D116" s="428"/>
      <c r="E116" s="436"/>
      <c r="F116" s="428"/>
      <c r="G116" s="428"/>
      <c r="H116" s="428"/>
      <c r="I116" s="428"/>
      <c r="J116" s="428"/>
      <c r="K116" s="429"/>
      <c r="L116" s="430" t="s">
        <v>478</v>
      </c>
      <c r="M116" s="431">
        <f>12+4.56+14.5+30+25.35+9.45+21.76+12.97+8.16+10.29+4.14+8.5+4.05+12.15+6.4</f>
        <v>184.28</v>
      </c>
      <c r="N116" s="641"/>
      <c r="O116" s="389">
        <f>12+4.56+14.5+30+25.35+9.45+21.76+12.97+8.16+10.29+4.14+8.5+4.05+12.15+6.4</f>
        <v>184.28</v>
      </c>
      <c r="P116" s="640">
        <f>O116+O118+O119</f>
        <v>1024.22</v>
      </c>
      <c r="Q116" s="392"/>
    </row>
    <row r="117" spans="1:17" s="393" customFormat="1" ht="390.75" hidden="1" customHeight="1">
      <c r="A117" s="469"/>
      <c r="B117" s="526"/>
      <c r="C117" s="428"/>
      <c r="D117" s="428"/>
      <c r="E117" s="436"/>
      <c r="F117" s="428"/>
      <c r="G117" s="428"/>
      <c r="H117" s="428"/>
      <c r="I117" s="428"/>
      <c r="J117" s="428"/>
      <c r="K117" s="429"/>
      <c r="L117" s="430"/>
      <c r="M117" s="431"/>
      <c r="N117" s="641"/>
      <c r="O117" s="389"/>
      <c r="P117" s="640"/>
      <c r="Q117" s="392"/>
    </row>
    <row r="118" spans="1:17" s="393" customFormat="1" ht="389.25" customHeight="1">
      <c r="A118" s="469"/>
      <c r="B118" s="665"/>
      <c r="C118" s="667"/>
      <c r="D118" s="667"/>
      <c r="E118" s="669"/>
      <c r="F118" s="667"/>
      <c r="G118" s="667"/>
      <c r="H118" s="667"/>
      <c r="I118" s="667"/>
      <c r="J118" s="667"/>
      <c r="K118" s="671"/>
      <c r="L118" s="430" t="s">
        <v>477</v>
      </c>
      <c r="M118" s="431">
        <f>7.68+5.67+10.2+8.1+4.8+2.56+4+6.35+7.06+3.7+1.5+1.24+5.9+28.89+2.53+4+20.5+26.64</f>
        <v>151.32</v>
      </c>
      <c r="N118" s="641"/>
      <c r="O118" s="389">
        <f>5.67+10.2+8.1+4.8+2.56+4+6.35+7.06+3.7+1.5+1.24+5.9+42.03+2.53+4+20.47+580+7.68</f>
        <v>717.79</v>
      </c>
      <c r="P118" s="640"/>
      <c r="Q118" s="392"/>
    </row>
    <row r="119" spans="1:17" s="393" customFormat="1" ht="231" customHeight="1">
      <c r="A119" s="469"/>
      <c r="B119" s="665"/>
      <c r="C119" s="667"/>
      <c r="D119" s="667"/>
      <c r="E119" s="669"/>
      <c r="F119" s="667"/>
      <c r="G119" s="667"/>
      <c r="H119" s="667"/>
      <c r="I119" s="667"/>
      <c r="J119" s="667"/>
      <c r="K119" s="671"/>
      <c r="L119" s="430" t="s">
        <v>257</v>
      </c>
      <c r="M119" s="431"/>
      <c r="N119" s="641"/>
      <c r="O119" s="389">
        <f>6+12.84+20.31+49.84+2.46+3.2+3.6+4.9+7.28+6.02+5.7</f>
        <v>122.15</v>
      </c>
      <c r="P119" s="640"/>
      <c r="Q119" s="392"/>
    </row>
    <row r="120" spans="1:17" s="393" customFormat="1" ht="112.5" customHeight="1">
      <c r="A120" s="484"/>
      <c r="B120" s="666"/>
      <c r="C120" s="668"/>
      <c r="D120" s="668"/>
      <c r="E120" s="670"/>
      <c r="F120" s="668"/>
      <c r="G120" s="668"/>
      <c r="H120" s="668"/>
      <c r="I120" s="668"/>
      <c r="J120" s="668"/>
      <c r="K120" s="672"/>
      <c r="L120" s="485" t="s">
        <v>411</v>
      </c>
      <c r="M120" s="432">
        <f>41803.2+1061.3+771.3</f>
        <v>43635.8</v>
      </c>
      <c r="N120" s="637"/>
      <c r="O120" s="389">
        <f>74161.6+1286+10068</f>
        <v>85515.6</v>
      </c>
      <c r="P120" s="391"/>
      <c r="Q120" s="392"/>
    </row>
    <row r="121" spans="1:17" s="393" customFormat="1" ht="58.5">
      <c r="A121" s="589">
        <v>7</v>
      </c>
      <c r="B121" s="444" t="s">
        <v>73</v>
      </c>
      <c r="C121" s="445">
        <f t="shared" ref="C121:J121" si="3">C122+C124+C127</f>
        <v>12677.099999999999</v>
      </c>
      <c r="D121" s="445">
        <f>D122+D124+D127</f>
        <v>111095.6</v>
      </c>
      <c r="E121" s="445">
        <f t="shared" si="3"/>
        <v>11180</v>
      </c>
      <c r="F121" s="445">
        <f t="shared" si="3"/>
        <v>134952.69999999998</v>
      </c>
      <c r="G121" s="445">
        <f t="shared" si="3"/>
        <v>12197.1</v>
      </c>
      <c r="H121" s="445">
        <f t="shared" si="3"/>
        <v>102836.29999999999</v>
      </c>
      <c r="I121" s="445">
        <f t="shared" si="3"/>
        <v>11180</v>
      </c>
      <c r="J121" s="445">
        <f t="shared" si="3"/>
        <v>126213.39999999998</v>
      </c>
      <c r="K121" s="446">
        <f>J121*100/F121</f>
        <v>93.524175507418519</v>
      </c>
      <c r="L121" s="447"/>
      <c r="M121" s="389"/>
      <c r="N121" s="390"/>
      <c r="O121" s="389"/>
      <c r="P121" s="391"/>
      <c r="Q121" s="392"/>
    </row>
    <row r="122" spans="1:17" s="393" customFormat="1" ht="245.25" customHeight="1">
      <c r="A122" s="528" t="s">
        <v>32</v>
      </c>
      <c r="B122" s="515" t="s">
        <v>45</v>
      </c>
      <c r="C122" s="481">
        <v>8349.7999999999993</v>
      </c>
      <c r="D122" s="481">
        <v>7143.3</v>
      </c>
      <c r="E122" s="481"/>
      <c r="F122" s="420">
        <f>E122+D122+C122</f>
        <v>15493.099999999999</v>
      </c>
      <c r="G122" s="481">
        <v>8232.7000000000007</v>
      </c>
      <c r="H122" s="481">
        <v>5272.7</v>
      </c>
      <c r="I122" s="481"/>
      <c r="J122" s="420">
        <f>I122+H122+G122</f>
        <v>13505.400000000001</v>
      </c>
      <c r="K122" s="421">
        <f>J122*100/F122</f>
        <v>87.170417798891137</v>
      </c>
      <c r="L122" s="529" t="s">
        <v>465</v>
      </c>
      <c r="M122" s="422">
        <f>5355.4+50+25.7+80+429</f>
        <v>5940.0999999999995</v>
      </c>
      <c r="N122" s="631">
        <f>M122+M123</f>
        <v>9880.9</v>
      </c>
      <c r="O122" s="422">
        <f>8011.2+72.5+49+100+649</f>
        <v>8881.7000000000007</v>
      </c>
      <c r="P122" s="634">
        <f>O122+O123</f>
        <v>13505.400000000001</v>
      </c>
      <c r="Q122" s="621">
        <f>J122-P122</f>
        <v>0</v>
      </c>
    </row>
    <row r="123" spans="1:17" s="393" customFormat="1" ht="73.5" customHeight="1">
      <c r="A123" s="530"/>
      <c r="B123" s="517"/>
      <c r="C123" s="439"/>
      <c r="D123" s="439"/>
      <c r="E123" s="439"/>
      <c r="F123" s="440"/>
      <c r="G123" s="439"/>
      <c r="H123" s="439"/>
      <c r="I123" s="439"/>
      <c r="J123" s="440"/>
      <c r="K123" s="441"/>
      <c r="L123" s="473" t="s">
        <v>412</v>
      </c>
      <c r="M123" s="432">
        <v>3940.8</v>
      </c>
      <c r="N123" s="633"/>
      <c r="O123" s="432">
        <v>4623.7</v>
      </c>
      <c r="P123" s="635"/>
      <c r="Q123" s="623"/>
    </row>
    <row r="124" spans="1:17" s="393" customFormat="1" ht="130.5" customHeight="1">
      <c r="A124" s="451" t="s">
        <v>34</v>
      </c>
      <c r="B124" s="515" t="s">
        <v>7</v>
      </c>
      <c r="C124" s="452"/>
      <c r="D124" s="452">
        <v>99632.3</v>
      </c>
      <c r="E124" s="452">
        <v>11180</v>
      </c>
      <c r="F124" s="453">
        <f>E124+D124+C124</f>
        <v>110812.3</v>
      </c>
      <c r="G124" s="452"/>
      <c r="H124" s="452">
        <f>95190.4-0.1</f>
        <v>95190.299999999988</v>
      </c>
      <c r="I124" s="452">
        <v>11180</v>
      </c>
      <c r="J124" s="453">
        <f>G124+H124+I124</f>
        <v>106370.29999999999</v>
      </c>
      <c r="K124" s="531">
        <f>J124*100/F124</f>
        <v>95.991419725066606</v>
      </c>
      <c r="L124" s="524" t="s">
        <v>466</v>
      </c>
      <c r="M124" s="516">
        <f>11180+33559.8</f>
        <v>44739.8</v>
      </c>
      <c r="N124" s="631">
        <f>M124+M125+M126</f>
        <v>85771.5</v>
      </c>
      <c r="O124" s="422">
        <f>11180+36585.3</f>
        <v>47765.3</v>
      </c>
      <c r="P124" s="634">
        <f>O124+O125+O126</f>
        <v>106370.3</v>
      </c>
      <c r="Q124" s="621">
        <f>J124-P124</f>
        <v>0</v>
      </c>
    </row>
    <row r="125" spans="1:17" s="393" customFormat="1" ht="114" customHeight="1">
      <c r="A125" s="433"/>
      <c r="B125" s="461"/>
      <c r="C125" s="456"/>
      <c r="D125" s="456"/>
      <c r="E125" s="456"/>
      <c r="F125" s="457"/>
      <c r="G125" s="456"/>
      <c r="H125" s="456"/>
      <c r="I125" s="456"/>
      <c r="J125" s="456"/>
      <c r="K125" s="474"/>
      <c r="L125" s="437" t="s">
        <v>413</v>
      </c>
      <c r="M125" s="477">
        <f>5784.4+138.3+36.7+54.6+71.7+101.2</f>
        <v>6186.9</v>
      </c>
      <c r="N125" s="632"/>
      <c r="O125" s="431">
        <f>8193.7+205.3+50.2+61.1+103.7+1625.1+171.5+66.4</f>
        <v>10477.000000000002</v>
      </c>
      <c r="P125" s="630"/>
      <c r="Q125" s="627"/>
    </row>
    <row r="126" spans="1:17" s="393" customFormat="1" ht="108.75" customHeight="1">
      <c r="A126" s="433"/>
      <c r="B126" s="517"/>
      <c r="C126" s="532"/>
      <c r="D126" s="532"/>
      <c r="E126" s="532"/>
      <c r="F126" s="533"/>
      <c r="G126" s="532"/>
      <c r="H126" s="532"/>
      <c r="I126" s="532"/>
      <c r="J126" s="533"/>
      <c r="K126" s="534"/>
      <c r="L126" s="442" t="s">
        <v>414</v>
      </c>
      <c r="M126" s="478">
        <f>22046.5+12798.3</f>
        <v>34844.800000000003</v>
      </c>
      <c r="N126" s="633"/>
      <c r="O126" s="432">
        <f>29396.3+18731.7</f>
        <v>48128</v>
      </c>
      <c r="P126" s="635"/>
      <c r="Q126" s="628"/>
    </row>
    <row r="127" spans="1:17" s="393" customFormat="1" ht="105.75" customHeight="1">
      <c r="A127" s="451" t="s">
        <v>35</v>
      </c>
      <c r="B127" s="512" t="s">
        <v>8</v>
      </c>
      <c r="C127" s="481">
        <v>4327.3</v>
      </c>
      <c r="D127" s="481">
        <v>4320</v>
      </c>
      <c r="E127" s="481"/>
      <c r="F127" s="420">
        <f>E127+D127+C127</f>
        <v>8647.2999999999993</v>
      </c>
      <c r="G127" s="481">
        <f>3964.4</f>
        <v>3964.4</v>
      </c>
      <c r="H127" s="481">
        <v>2373.3000000000002</v>
      </c>
      <c r="I127" s="481"/>
      <c r="J127" s="420">
        <f>I127+H127+G127</f>
        <v>6337.7000000000007</v>
      </c>
      <c r="K127" s="421">
        <f>J127*100/F127</f>
        <v>73.291085078579457</v>
      </c>
      <c r="L127" s="437" t="s">
        <v>415</v>
      </c>
      <c r="M127" s="422">
        <f>2052.2+136+21.6+195.9</f>
        <v>2405.6999999999998</v>
      </c>
      <c r="N127" s="535">
        <f>M127+M129</f>
        <v>2945.3999999999996</v>
      </c>
      <c r="O127" s="422">
        <f>2948.6+146.3+32.4+196</f>
        <v>3323.3</v>
      </c>
      <c r="P127" s="634">
        <f>O127+O128+O129+O130+O131</f>
        <v>6337.7</v>
      </c>
      <c r="Q127" s="621">
        <f>J127-P127</f>
        <v>0</v>
      </c>
    </row>
    <row r="128" spans="1:17" s="393" customFormat="1" ht="45.75" customHeight="1">
      <c r="A128" s="433"/>
      <c r="B128" s="514"/>
      <c r="C128" s="436"/>
      <c r="D128" s="436"/>
      <c r="E128" s="436"/>
      <c r="F128" s="428"/>
      <c r="G128" s="436"/>
      <c r="H128" s="436"/>
      <c r="I128" s="436"/>
      <c r="J128" s="428"/>
      <c r="K128" s="429"/>
      <c r="L128" s="437" t="s">
        <v>416</v>
      </c>
      <c r="M128" s="431"/>
      <c r="N128" s="472"/>
      <c r="O128" s="431">
        <v>53</v>
      </c>
      <c r="P128" s="630"/>
      <c r="Q128" s="627"/>
    </row>
    <row r="129" spans="1:22" s="393" customFormat="1" ht="120" customHeight="1">
      <c r="A129" s="433"/>
      <c r="B129" s="514"/>
      <c r="C129" s="436"/>
      <c r="D129" s="436"/>
      <c r="E129" s="436"/>
      <c r="F129" s="428"/>
      <c r="G129" s="436"/>
      <c r="H129" s="436"/>
      <c r="I129" s="436"/>
      <c r="J129" s="428"/>
      <c r="K129" s="429"/>
      <c r="L129" s="500" t="s">
        <v>467</v>
      </c>
      <c r="M129" s="432">
        <f>146.6+136.5+33.5+223.1</f>
        <v>539.70000000000005</v>
      </c>
      <c r="N129" s="479"/>
      <c r="O129" s="431">
        <f>146.6+136.5+33.5+223.1</f>
        <v>539.70000000000005</v>
      </c>
      <c r="P129" s="630"/>
      <c r="Q129" s="627"/>
    </row>
    <row r="130" spans="1:22" s="393" customFormat="1" ht="56.25" customHeight="1">
      <c r="A130" s="433"/>
      <c r="B130" s="514"/>
      <c r="C130" s="436"/>
      <c r="D130" s="436"/>
      <c r="E130" s="436"/>
      <c r="F130" s="428"/>
      <c r="G130" s="436"/>
      <c r="H130" s="436"/>
      <c r="I130" s="436"/>
      <c r="J130" s="428"/>
      <c r="K130" s="429"/>
      <c r="L130" s="500" t="s">
        <v>417</v>
      </c>
      <c r="M130" s="431"/>
      <c r="N130" s="472"/>
      <c r="O130" s="431">
        <v>2373.3000000000002</v>
      </c>
      <c r="P130" s="630"/>
      <c r="Q130" s="627"/>
    </row>
    <row r="131" spans="1:22" s="393" customFormat="1" ht="69" customHeight="1">
      <c r="A131" s="433"/>
      <c r="B131" s="514"/>
      <c r="C131" s="436"/>
      <c r="D131" s="436"/>
      <c r="E131" s="436"/>
      <c r="F131" s="428"/>
      <c r="G131" s="436"/>
      <c r="H131" s="436"/>
      <c r="I131" s="436"/>
      <c r="J131" s="428"/>
      <c r="K131" s="429"/>
      <c r="L131" s="500" t="s">
        <v>418</v>
      </c>
      <c r="M131" s="431"/>
      <c r="N131" s="472"/>
      <c r="O131" s="432">
        <v>48.4</v>
      </c>
      <c r="P131" s="635"/>
      <c r="Q131" s="628"/>
    </row>
    <row r="132" spans="1:22" s="393" customFormat="1" ht="310.5" customHeight="1">
      <c r="A132" s="536" t="s">
        <v>37</v>
      </c>
      <c r="B132" s="537" t="s">
        <v>81</v>
      </c>
      <c r="C132" s="420">
        <v>26166.5</v>
      </c>
      <c r="D132" s="420">
        <v>2320.6999999999998</v>
      </c>
      <c r="E132" s="420"/>
      <c r="F132" s="420">
        <f>E132+D132+C132</f>
        <v>28487.200000000001</v>
      </c>
      <c r="G132" s="420">
        <v>25620.7</v>
      </c>
      <c r="H132" s="420">
        <v>1597.4</v>
      </c>
      <c r="I132" s="420"/>
      <c r="J132" s="420">
        <f>I132+H132+G132</f>
        <v>27218.100000000002</v>
      </c>
      <c r="K132" s="421">
        <f>J132*100/F132</f>
        <v>95.545016709258888</v>
      </c>
      <c r="L132" s="501" t="s">
        <v>419</v>
      </c>
      <c r="M132" s="482">
        <f>9556.7+2688.8+172.6+1474.5+454.5+500.3+138.4+204.4+9+349.8+147.85+22.53</f>
        <v>15719.38</v>
      </c>
      <c r="N132" s="674">
        <f>M132+M133+M134+M137</f>
        <v>16259.9</v>
      </c>
      <c r="O132" s="422">
        <f>12780.61+3958.34+234.22+467.32+648.72+951.4+279.52+343.37+22.61+460.92+186.03+40.82+1852.62+560.45</f>
        <v>22786.95</v>
      </c>
      <c r="P132" s="634">
        <f>O132+O133+O134+O135+O136+O137</f>
        <v>27218.1</v>
      </c>
      <c r="Q132" s="621">
        <f>J132-P132</f>
        <v>0</v>
      </c>
      <c r="R132" s="677"/>
    </row>
    <row r="133" spans="1:22" s="393" customFormat="1" ht="61.5" customHeight="1">
      <c r="A133" s="539"/>
      <c r="B133" s="526"/>
      <c r="C133" s="428"/>
      <c r="D133" s="428"/>
      <c r="E133" s="428"/>
      <c r="F133" s="428"/>
      <c r="G133" s="428"/>
      <c r="H133" s="428"/>
      <c r="I133" s="428"/>
      <c r="J133" s="428"/>
      <c r="K133" s="429"/>
      <c r="L133" s="507" t="s">
        <v>420</v>
      </c>
      <c r="M133" s="470">
        <v>113.5</v>
      </c>
      <c r="N133" s="675"/>
      <c r="O133" s="431">
        <v>141.5</v>
      </c>
      <c r="P133" s="630"/>
      <c r="Q133" s="627"/>
      <c r="R133" s="678"/>
    </row>
    <row r="134" spans="1:22" s="393" customFormat="1" ht="70.5" customHeight="1">
      <c r="A134" s="540"/>
      <c r="B134" s="526"/>
      <c r="C134" s="428"/>
      <c r="D134" s="428"/>
      <c r="E134" s="428"/>
      <c r="F134" s="428"/>
      <c r="G134" s="428"/>
      <c r="H134" s="428"/>
      <c r="I134" s="428"/>
      <c r="J134" s="428"/>
      <c r="K134" s="429"/>
      <c r="L134" s="507" t="s">
        <v>421</v>
      </c>
      <c r="M134" s="470">
        <f>271+50</f>
        <v>321</v>
      </c>
      <c r="N134" s="675"/>
      <c r="O134" s="431">
        <f>545+50</f>
        <v>595</v>
      </c>
      <c r="P134" s="630"/>
      <c r="Q134" s="627"/>
      <c r="R134" s="678"/>
    </row>
    <row r="135" spans="1:22" s="393" customFormat="1" ht="52.5" customHeight="1">
      <c r="A135" s="540"/>
      <c r="B135" s="526"/>
      <c r="C135" s="428"/>
      <c r="D135" s="428"/>
      <c r="E135" s="428"/>
      <c r="F135" s="428"/>
      <c r="G135" s="428"/>
      <c r="H135" s="428"/>
      <c r="I135" s="428"/>
      <c r="J135" s="428"/>
      <c r="K135" s="429"/>
      <c r="L135" s="526" t="s">
        <v>422</v>
      </c>
      <c r="M135" s="470"/>
      <c r="N135" s="675"/>
      <c r="O135" s="431">
        <v>1761.89</v>
      </c>
      <c r="P135" s="630"/>
      <c r="Q135" s="627"/>
      <c r="R135" s="678"/>
    </row>
    <row r="136" spans="1:22" s="393" customFormat="1" ht="267.75" customHeight="1">
      <c r="A136" s="540"/>
      <c r="B136" s="526"/>
      <c r="C136" s="428"/>
      <c r="D136" s="428"/>
      <c r="E136" s="428"/>
      <c r="F136" s="428"/>
      <c r="G136" s="428"/>
      <c r="H136" s="428"/>
      <c r="I136" s="428"/>
      <c r="J136" s="428"/>
      <c r="K136" s="429"/>
      <c r="L136" s="526" t="s">
        <v>479</v>
      </c>
      <c r="M136" s="470"/>
      <c r="N136" s="675"/>
      <c r="O136" s="431">
        <f>700+14.76+300+150+150+330</f>
        <v>1644.76</v>
      </c>
      <c r="P136" s="630"/>
      <c r="Q136" s="627"/>
      <c r="R136" s="678"/>
    </row>
    <row r="137" spans="1:22" s="393" customFormat="1" ht="90.75" customHeight="1">
      <c r="A137" s="540"/>
      <c r="B137" s="526"/>
      <c r="C137" s="428"/>
      <c r="D137" s="428"/>
      <c r="E137" s="428"/>
      <c r="F137" s="428"/>
      <c r="G137" s="428"/>
      <c r="H137" s="428"/>
      <c r="I137" s="428"/>
      <c r="J137" s="428"/>
      <c r="K137" s="429"/>
      <c r="L137" s="526" t="s">
        <v>423</v>
      </c>
      <c r="M137" s="541">
        <f>94.12+11.9</f>
        <v>106.02000000000001</v>
      </c>
      <c r="N137" s="676"/>
      <c r="O137" s="432">
        <f>264+24</f>
        <v>288</v>
      </c>
      <c r="P137" s="635"/>
      <c r="Q137" s="628"/>
      <c r="R137" s="678"/>
    </row>
    <row r="138" spans="1:22" s="393" customFormat="1" ht="200.25" customHeight="1">
      <c r="A138" s="443" t="s">
        <v>39</v>
      </c>
      <c r="B138" s="542" t="s">
        <v>74</v>
      </c>
      <c r="C138" s="445">
        <v>21</v>
      </c>
      <c r="D138" s="445"/>
      <c r="E138" s="445"/>
      <c r="F138" s="445">
        <f>E138+D138+C138</f>
        <v>21</v>
      </c>
      <c r="G138" s="445">
        <v>20.7</v>
      </c>
      <c r="H138" s="445"/>
      <c r="I138" s="445"/>
      <c r="J138" s="445">
        <f>G138+H138+I138</f>
        <v>20.7</v>
      </c>
      <c r="K138" s="446">
        <f>J138/F138*100</f>
        <v>98.571428571428569</v>
      </c>
      <c r="L138" s="447" t="s">
        <v>424</v>
      </c>
      <c r="M138" s="491">
        <f>4+3+3</f>
        <v>10</v>
      </c>
      <c r="N138" s="390"/>
      <c r="O138" s="432">
        <f>4+2+1.7+7+3+3</f>
        <v>20.7</v>
      </c>
      <c r="P138" s="543">
        <f>J138-O138</f>
        <v>0</v>
      </c>
      <c r="Q138" s="392"/>
    </row>
    <row r="139" spans="1:22" s="393" customFormat="1" ht="140.25" customHeight="1">
      <c r="A139" s="544" t="s">
        <v>40</v>
      </c>
      <c r="B139" s="448" t="s">
        <v>75</v>
      </c>
      <c r="C139" s="445">
        <f t="shared" ref="C139:J139" si="4">C140+C141+C142+C143</f>
        <v>132.9</v>
      </c>
      <c r="D139" s="445">
        <f t="shared" si="4"/>
        <v>0</v>
      </c>
      <c r="E139" s="445">
        <f t="shared" si="4"/>
        <v>0</v>
      </c>
      <c r="F139" s="445">
        <f t="shared" si="4"/>
        <v>132.9</v>
      </c>
      <c r="G139" s="445">
        <f t="shared" si="4"/>
        <v>123.89999999999999</v>
      </c>
      <c r="H139" s="445">
        <f t="shared" si="4"/>
        <v>0</v>
      </c>
      <c r="I139" s="445">
        <f t="shared" si="4"/>
        <v>0</v>
      </c>
      <c r="J139" s="445">
        <f t="shared" si="4"/>
        <v>123.89999999999999</v>
      </c>
      <c r="K139" s="446">
        <f>J139*100/F139</f>
        <v>93.227990970654631</v>
      </c>
      <c r="L139" s="447"/>
      <c r="M139" s="389"/>
      <c r="N139" s="390"/>
      <c r="O139" s="389"/>
      <c r="P139" s="391"/>
      <c r="Q139" s="392"/>
    </row>
    <row r="140" spans="1:22" s="393" customFormat="1" ht="112.5" customHeight="1">
      <c r="A140" s="545" t="s">
        <v>66</v>
      </c>
      <c r="B140" s="546" t="s">
        <v>9</v>
      </c>
      <c r="C140" s="489">
        <v>13</v>
      </c>
      <c r="D140" s="489"/>
      <c r="E140" s="489"/>
      <c r="F140" s="445">
        <f>E140+D140+C140</f>
        <v>13</v>
      </c>
      <c r="G140" s="489">
        <v>11.8</v>
      </c>
      <c r="H140" s="489"/>
      <c r="I140" s="489"/>
      <c r="J140" s="445">
        <f>I140+H140+G140</f>
        <v>11.8</v>
      </c>
      <c r="K140" s="446">
        <f>J140*100/F140</f>
        <v>90.769230769230774</v>
      </c>
      <c r="L140" s="547" t="s">
        <v>425</v>
      </c>
      <c r="M140" s="422">
        <v>1.8</v>
      </c>
      <c r="N140" s="535">
        <f>M140+M141+M142+M143</f>
        <v>74.100000000000009</v>
      </c>
      <c r="O140" s="389">
        <f>10+1.8</f>
        <v>11.8</v>
      </c>
      <c r="P140" s="391">
        <f>J140-O140</f>
        <v>0</v>
      </c>
      <c r="Q140" s="392"/>
    </row>
    <row r="141" spans="1:22" s="393" customFormat="1" ht="61.5" customHeight="1">
      <c r="A141" s="548" t="s">
        <v>67</v>
      </c>
      <c r="B141" s="546" t="s">
        <v>48</v>
      </c>
      <c r="C141" s="489">
        <v>54</v>
      </c>
      <c r="D141" s="489"/>
      <c r="E141" s="489"/>
      <c r="F141" s="445">
        <f>E141+D141+C141</f>
        <v>54</v>
      </c>
      <c r="G141" s="489">
        <v>49.2</v>
      </c>
      <c r="H141" s="489"/>
      <c r="I141" s="489"/>
      <c r="J141" s="445">
        <f>I141+H141+G141</f>
        <v>49.2</v>
      </c>
      <c r="K141" s="446">
        <f>J141*100/F141</f>
        <v>91.111111111111114</v>
      </c>
      <c r="L141" s="447" t="s">
        <v>426</v>
      </c>
      <c r="M141" s="431">
        <v>49.2</v>
      </c>
      <c r="N141" s="472"/>
      <c r="O141" s="389">
        <v>49.2</v>
      </c>
      <c r="P141" s="391">
        <f>J141-O141</f>
        <v>0</v>
      </c>
      <c r="Q141" s="392"/>
    </row>
    <row r="142" spans="1:22" s="393" customFormat="1" ht="129.75" customHeight="1">
      <c r="A142" s="487" t="s">
        <v>68</v>
      </c>
      <c r="B142" s="496" t="s">
        <v>10</v>
      </c>
      <c r="C142" s="489">
        <v>63.3</v>
      </c>
      <c r="D142" s="489"/>
      <c r="E142" s="489"/>
      <c r="F142" s="445">
        <f>E142+D142+C142</f>
        <v>63.3</v>
      </c>
      <c r="G142" s="489">
        <v>60.3</v>
      </c>
      <c r="H142" s="489"/>
      <c r="I142" s="489"/>
      <c r="J142" s="445">
        <f>I142+H142+G142</f>
        <v>60.3</v>
      </c>
      <c r="K142" s="446">
        <f>J142*100/F142</f>
        <v>95.260663507109015</v>
      </c>
      <c r="L142" s="447" t="s">
        <v>468</v>
      </c>
      <c r="M142" s="432">
        <v>20.399999999999999</v>
      </c>
      <c r="N142" s="479"/>
      <c r="O142" s="389">
        <f>10.3+20+30</f>
        <v>60.3</v>
      </c>
      <c r="P142" s="391">
        <f>J142-O142</f>
        <v>0</v>
      </c>
      <c r="Q142" s="392"/>
    </row>
    <row r="143" spans="1:22" s="393" customFormat="1" ht="59.25" customHeight="1">
      <c r="A143" s="487" t="s">
        <v>69</v>
      </c>
      <c r="B143" s="496" t="s">
        <v>11</v>
      </c>
      <c r="C143" s="489">
        <v>2.6</v>
      </c>
      <c r="D143" s="489"/>
      <c r="E143" s="489"/>
      <c r="F143" s="445">
        <f>E143+D143+C143</f>
        <v>2.6</v>
      </c>
      <c r="G143" s="489">
        <v>2.6</v>
      </c>
      <c r="H143" s="489"/>
      <c r="I143" s="489"/>
      <c r="J143" s="445">
        <f>I143+H143+G143</f>
        <v>2.6</v>
      </c>
      <c r="K143" s="446">
        <f>J143*100/F143</f>
        <v>100</v>
      </c>
      <c r="L143" s="447" t="s">
        <v>427</v>
      </c>
      <c r="M143" s="389">
        <v>2.7</v>
      </c>
      <c r="N143" s="390"/>
      <c r="O143" s="389">
        <v>2.6</v>
      </c>
      <c r="P143" s="391">
        <f>J143-O143</f>
        <v>0</v>
      </c>
      <c r="Q143" s="392"/>
    </row>
    <row r="144" spans="1:22" s="393" customFormat="1" ht="285" customHeight="1">
      <c r="A144" s="417" t="s">
        <v>41</v>
      </c>
      <c r="B144" s="522" t="s">
        <v>76</v>
      </c>
      <c r="C144" s="420">
        <v>4265.1000000000004</v>
      </c>
      <c r="D144" s="420">
        <v>802.6</v>
      </c>
      <c r="E144" s="420"/>
      <c r="F144" s="420">
        <f>E144+D144+C144</f>
        <v>5067.7000000000007</v>
      </c>
      <c r="G144" s="420">
        <v>3954.1</v>
      </c>
      <c r="H144" s="420">
        <v>802.6</v>
      </c>
      <c r="I144" s="420"/>
      <c r="J144" s="420">
        <f>G144+I144+H144</f>
        <v>4756.7</v>
      </c>
      <c r="K144" s="421">
        <f>J144/F144*100</f>
        <v>93.863093711151009</v>
      </c>
      <c r="L144" s="388" t="s">
        <v>428</v>
      </c>
      <c r="M144" s="422">
        <f>912.45+239.06+39.1+125.99+21.63+22.81+0.05+1.61</f>
        <v>1362.6999999999998</v>
      </c>
      <c r="N144" s="535">
        <f>M144+M146+M145</f>
        <v>2579.5</v>
      </c>
      <c r="O144" s="549">
        <f>1236.77+354.88+82.62+0.8+53.1+41.24+530.41+7.39+69.82+0.07+132.9</f>
        <v>2510</v>
      </c>
      <c r="P144" s="621">
        <f>O144+O145+O146</f>
        <v>4756.7000000000007</v>
      </c>
      <c r="Q144" s="392"/>
      <c r="R144" s="513"/>
      <c r="S144" s="513"/>
      <c r="T144" s="513"/>
      <c r="U144" s="513"/>
      <c r="V144" s="513"/>
    </row>
    <row r="145" spans="1:17" s="393" customFormat="1" ht="186.75" customHeight="1">
      <c r="A145" s="425"/>
      <c r="B145" s="471"/>
      <c r="C145" s="428"/>
      <c r="D145" s="428"/>
      <c r="E145" s="428"/>
      <c r="F145" s="428"/>
      <c r="G145" s="428"/>
      <c r="H145" s="428"/>
      <c r="I145" s="428"/>
      <c r="J145" s="428"/>
      <c r="K145" s="429"/>
      <c r="L145" s="430" t="s">
        <v>429</v>
      </c>
      <c r="M145" s="431">
        <f>776.2+15.8+363</f>
        <v>1155</v>
      </c>
      <c r="N145" s="472"/>
      <c r="O145" s="431">
        <f>802.6+16.4+362.9+500+499.8</f>
        <v>2181.7000000000003</v>
      </c>
      <c r="P145" s="622"/>
      <c r="Q145" s="423">
        <f>J144-P144</f>
        <v>0</v>
      </c>
    </row>
    <row r="146" spans="1:17" s="393" customFormat="1" ht="173.25" customHeight="1">
      <c r="A146" s="550"/>
      <c r="B146" s="480"/>
      <c r="C146" s="480"/>
      <c r="D146" s="480"/>
      <c r="E146" s="440"/>
      <c r="F146" s="440"/>
      <c r="G146" s="440"/>
      <c r="H146" s="440"/>
      <c r="I146" s="440"/>
      <c r="J146" s="440"/>
      <c r="K146" s="441"/>
      <c r="L146" s="485" t="s">
        <v>430</v>
      </c>
      <c r="M146" s="432">
        <f>2.8+29.7+29.3</f>
        <v>61.8</v>
      </c>
      <c r="N146" s="479"/>
      <c r="O146" s="521">
        <f>29.7+29.38+2.78+3.14</f>
        <v>65</v>
      </c>
      <c r="P146" s="623"/>
      <c r="Q146" s="392"/>
    </row>
    <row r="147" spans="1:17" s="393" customFormat="1" ht="162.75" hidden="1" customHeight="1">
      <c r="A147" s="550"/>
      <c r="B147" s="480"/>
      <c r="C147" s="440"/>
      <c r="D147" s="440"/>
      <c r="E147" s="428"/>
      <c r="F147" s="440"/>
      <c r="G147" s="440"/>
      <c r="H147" s="440"/>
      <c r="I147" s="440"/>
      <c r="J147" s="440"/>
      <c r="K147" s="441"/>
      <c r="L147" s="485" t="s">
        <v>213</v>
      </c>
      <c r="M147" s="389"/>
      <c r="N147" s="390"/>
      <c r="O147" s="389"/>
      <c r="P147" s="391"/>
      <c r="Q147" s="392"/>
    </row>
    <row r="148" spans="1:17" s="393" customFormat="1" ht="94.5" customHeight="1">
      <c r="A148" s="544" t="s">
        <v>42</v>
      </c>
      <c r="B148" s="448" t="s">
        <v>77</v>
      </c>
      <c r="C148" s="420">
        <f>C149+C161</f>
        <v>40375</v>
      </c>
      <c r="D148" s="420">
        <f>D149+D161</f>
        <v>19835.5</v>
      </c>
      <c r="E148" s="420">
        <f t="shared" ref="E148:J148" si="5">E149+E161</f>
        <v>0</v>
      </c>
      <c r="F148" s="420">
        <f t="shared" si="5"/>
        <v>60210.5</v>
      </c>
      <c r="G148" s="445">
        <f t="shared" si="5"/>
        <v>22128.9</v>
      </c>
      <c r="H148" s="445">
        <f t="shared" si="5"/>
        <v>19081.3</v>
      </c>
      <c r="I148" s="445">
        <f t="shared" si="5"/>
        <v>0</v>
      </c>
      <c r="J148" s="445">
        <f t="shared" si="5"/>
        <v>41210.200000000004</v>
      </c>
      <c r="K148" s="446">
        <f>J148*100/F148</f>
        <v>68.443543900150317</v>
      </c>
      <c r="L148" s="447"/>
      <c r="M148" s="493"/>
      <c r="N148" s="390"/>
      <c r="O148" s="389"/>
      <c r="P148" s="391"/>
      <c r="Q148" s="392"/>
    </row>
    <row r="149" spans="1:17" s="393" customFormat="1" ht="375" customHeight="1">
      <c r="A149" s="551" t="s">
        <v>43</v>
      </c>
      <c r="B149" s="515" t="s">
        <v>12</v>
      </c>
      <c r="C149" s="481">
        <v>39442.6</v>
      </c>
      <c r="D149" s="481">
        <v>19835.5</v>
      </c>
      <c r="E149" s="481"/>
      <c r="F149" s="420">
        <f>E149+D149+C149</f>
        <v>59278.1</v>
      </c>
      <c r="G149" s="481">
        <v>21196.5</v>
      </c>
      <c r="H149" s="481">
        <v>19081.3</v>
      </c>
      <c r="I149" s="481"/>
      <c r="J149" s="420">
        <f>I149+H149+G149</f>
        <v>40277.800000000003</v>
      </c>
      <c r="K149" s="421">
        <f>J149*100/F149</f>
        <v>67.947184542014682</v>
      </c>
      <c r="L149" s="502" t="s">
        <v>431</v>
      </c>
      <c r="M149" s="422">
        <f>48.83+276.74+58.04+65.92+50.83+116.02</f>
        <v>616.38</v>
      </c>
      <c r="N149" s="631">
        <f>M149+M150+M151+M152+M153+M154+M161</f>
        <v>27789.9</v>
      </c>
      <c r="O149" s="422">
        <f>48.83+276.74+58.04+65.92+50.83+116.02</f>
        <v>616.38</v>
      </c>
      <c r="P149" s="624">
        <f>O149+O150+O151+O152+O153+O154+O155</f>
        <v>40277.800000000003</v>
      </c>
      <c r="Q149" s="391">
        <f>J149-P149</f>
        <v>0</v>
      </c>
    </row>
    <row r="150" spans="1:17" s="393" customFormat="1" ht="27" customHeight="1">
      <c r="A150" s="552"/>
      <c r="B150" s="514"/>
      <c r="C150" s="436"/>
      <c r="D150" s="436"/>
      <c r="E150" s="436"/>
      <c r="F150" s="428"/>
      <c r="G150" s="436"/>
      <c r="H150" s="436"/>
      <c r="I150" s="436"/>
      <c r="J150" s="428"/>
      <c r="K150" s="429"/>
      <c r="L150" s="498" t="s">
        <v>218</v>
      </c>
      <c r="M150" s="431">
        <v>23.4</v>
      </c>
      <c r="N150" s="632"/>
      <c r="O150" s="431">
        <v>23.4</v>
      </c>
      <c r="P150" s="625"/>
      <c r="Q150" s="391"/>
    </row>
    <row r="151" spans="1:17" s="393" customFormat="1" ht="266.25" customHeight="1">
      <c r="A151" s="552"/>
      <c r="B151" s="514"/>
      <c r="C151" s="436"/>
      <c r="D151" s="436"/>
      <c r="E151" s="436"/>
      <c r="F151" s="428"/>
      <c r="G151" s="436"/>
      <c r="H151" s="436"/>
      <c r="I151" s="436"/>
      <c r="J151" s="428"/>
      <c r="K151" s="429"/>
      <c r="L151" s="498" t="s">
        <v>248</v>
      </c>
      <c r="M151" s="431">
        <f>1807.97+1796.26+1253.8+0.48+2735.78</f>
        <v>7594.2899999999991</v>
      </c>
      <c r="N151" s="632"/>
      <c r="O151" s="431">
        <f>2000+1796.26+1253.8+0.48+2735.78+1042.85</f>
        <v>8829.17</v>
      </c>
      <c r="P151" s="625"/>
      <c r="Q151" s="392"/>
    </row>
    <row r="152" spans="1:17" s="393" customFormat="1" ht="153.75" customHeight="1">
      <c r="A152" s="552"/>
      <c r="B152" s="514"/>
      <c r="C152" s="436"/>
      <c r="D152" s="436"/>
      <c r="E152" s="436"/>
      <c r="F152" s="428"/>
      <c r="G152" s="436"/>
      <c r="H152" s="436"/>
      <c r="I152" s="436"/>
      <c r="J152" s="428"/>
      <c r="K152" s="429"/>
      <c r="L152" s="498" t="s">
        <v>469</v>
      </c>
      <c r="M152" s="431">
        <v>606.23</v>
      </c>
      <c r="N152" s="632"/>
      <c r="O152" s="431">
        <f>606.2+195.36+439.69+842.82</f>
        <v>2084.0700000000002</v>
      </c>
      <c r="P152" s="625"/>
      <c r="Q152" s="392"/>
    </row>
    <row r="153" spans="1:17" s="393" customFormat="1" ht="346.5" customHeight="1">
      <c r="A153" s="552"/>
      <c r="B153" s="514"/>
      <c r="C153" s="436"/>
      <c r="D153" s="436"/>
      <c r="E153" s="436"/>
      <c r="F153" s="428"/>
      <c r="G153" s="436"/>
      <c r="H153" s="436"/>
      <c r="I153" s="436"/>
      <c r="J153" s="428"/>
      <c r="K153" s="429"/>
      <c r="L153" s="498" t="s">
        <v>470</v>
      </c>
      <c r="M153" s="470">
        <f>4843.8+7957.8+2775.1+293.8+2100.7</f>
        <v>17971.2</v>
      </c>
      <c r="N153" s="632"/>
      <c r="O153" s="431">
        <f>4843.8+7957.8+2775.1+293.8+2100.7+1110.1</f>
        <v>19081.3</v>
      </c>
      <c r="P153" s="625"/>
      <c r="Q153" s="392"/>
    </row>
    <row r="154" spans="1:17" s="393" customFormat="1" ht="307.5" customHeight="1">
      <c r="A154" s="552"/>
      <c r="B154" s="514"/>
      <c r="C154" s="436"/>
      <c r="D154" s="436"/>
      <c r="E154" s="436"/>
      <c r="F154" s="436"/>
      <c r="G154" s="436"/>
      <c r="H154" s="436"/>
      <c r="I154" s="436"/>
      <c r="J154" s="436"/>
      <c r="K154" s="553"/>
      <c r="L154" s="498" t="s">
        <v>432</v>
      </c>
      <c r="M154" s="431">
        <f>99+162.4+56.6+6+42.9</f>
        <v>366.9</v>
      </c>
      <c r="N154" s="632"/>
      <c r="O154" s="431">
        <f>99+162.4+56.6+6+42.9+22.6</f>
        <v>389.5</v>
      </c>
      <c r="P154" s="625"/>
      <c r="Q154" s="392"/>
    </row>
    <row r="155" spans="1:17" s="393" customFormat="1" ht="180" customHeight="1">
      <c r="A155" s="552"/>
      <c r="B155" s="514"/>
      <c r="C155" s="436"/>
      <c r="D155" s="436"/>
      <c r="E155" s="436"/>
      <c r="F155" s="428"/>
      <c r="G155" s="436"/>
      <c r="H155" s="436"/>
      <c r="I155" s="436"/>
      <c r="J155" s="428"/>
      <c r="K155" s="429"/>
      <c r="L155" s="504" t="s">
        <v>433</v>
      </c>
      <c r="M155" s="431"/>
      <c r="N155" s="632"/>
      <c r="O155" s="432">
        <f>7500+599+517.27+459.09+178.62</f>
        <v>9253.9800000000014</v>
      </c>
      <c r="P155" s="626"/>
      <c r="Q155" s="392"/>
    </row>
    <row r="156" spans="1:17" s="393" customFormat="1" hidden="1">
      <c r="A156" s="552"/>
      <c r="B156" s="514"/>
      <c r="C156" s="436"/>
      <c r="D156" s="436"/>
      <c r="E156" s="436"/>
      <c r="F156" s="428"/>
      <c r="G156" s="436"/>
      <c r="H156" s="436"/>
      <c r="I156" s="436"/>
      <c r="J156" s="428"/>
      <c r="K156" s="429"/>
      <c r="L156" s="498"/>
      <c r="M156" s="431"/>
      <c r="N156" s="632"/>
      <c r="O156" s="389"/>
      <c r="P156" s="391"/>
      <c r="Q156" s="392"/>
    </row>
    <row r="157" spans="1:17" s="393" customFormat="1" hidden="1">
      <c r="A157" s="552"/>
      <c r="B157" s="514"/>
      <c r="C157" s="436"/>
      <c r="D157" s="436"/>
      <c r="E157" s="436"/>
      <c r="F157" s="428"/>
      <c r="G157" s="436"/>
      <c r="H157" s="436"/>
      <c r="I157" s="436"/>
      <c r="J157" s="428"/>
      <c r="K157" s="429"/>
      <c r="L157" s="504"/>
      <c r="M157" s="431"/>
      <c r="N157" s="632"/>
      <c r="O157" s="389"/>
      <c r="P157" s="391"/>
      <c r="Q157" s="392"/>
    </row>
    <row r="158" spans="1:17" s="393" customFormat="1" hidden="1">
      <c r="A158" s="552"/>
      <c r="B158" s="514"/>
      <c r="C158" s="436"/>
      <c r="D158" s="436"/>
      <c r="E158" s="436"/>
      <c r="F158" s="428"/>
      <c r="G158" s="436"/>
      <c r="H158" s="436"/>
      <c r="I158" s="436"/>
      <c r="J158" s="428"/>
      <c r="K158" s="429"/>
      <c r="L158" s="504"/>
      <c r="M158" s="431"/>
      <c r="N158" s="632"/>
      <c r="O158" s="389"/>
      <c r="P158" s="391"/>
      <c r="Q158" s="392"/>
    </row>
    <row r="159" spans="1:17" s="393" customFormat="1" hidden="1">
      <c r="A159" s="552"/>
      <c r="B159" s="514"/>
      <c r="C159" s="436"/>
      <c r="D159" s="436"/>
      <c r="E159" s="436"/>
      <c r="F159" s="428"/>
      <c r="G159" s="436"/>
      <c r="H159" s="436"/>
      <c r="I159" s="436"/>
      <c r="J159" s="428"/>
      <c r="K159" s="429"/>
      <c r="L159" s="504"/>
      <c r="M159" s="431"/>
      <c r="N159" s="632"/>
      <c r="O159" s="389"/>
      <c r="P159" s="391"/>
      <c r="Q159" s="392"/>
    </row>
    <row r="160" spans="1:17" s="393" customFormat="1" hidden="1">
      <c r="A160" s="552"/>
      <c r="B160" s="514"/>
      <c r="C160" s="436"/>
      <c r="D160" s="436"/>
      <c r="E160" s="436"/>
      <c r="F160" s="428"/>
      <c r="G160" s="436"/>
      <c r="H160" s="436"/>
      <c r="I160" s="436"/>
      <c r="J160" s="428"/>
      <c r="K160" s="429"/>
      <c r="L160" s="504"/>
      <c r="M160" s="431"/>
      <c r="N160" s="632"/>
      <c r="O160" s="389"/>
      <c r="P160" s="391"/>
      <c r="Q160" s="392"/>
    </row>
    <row r="161" spans="1:18" s="393" customFormat="1" ht="59.25" customHeight="1">
      <c r="A161" s="545" t="s">
        <v>44</v>
      </c>
      <c r="B161" s="546" t="s">
        <v>13</v>
      </c>
      <c r="C161" s="489">
        <v>932.4</v>
      </c>
      <c r="D161" s="489"/>
      <c r="E161" s="489"/>
      <c r="F161" s="445">
        <f>E161+D161+C161</f>
        <v>932.4</v>
      </c>
      <c r="G161" s="489">
        <v>932.4</v>
      </c>
      <c r="H161" s="489"/>
      <c r="I161" s="489"/>
      <c r="J161" s="445">
        <f>I161+H161+G161</f>
        <v>932.4</v>
      </c>
      <c r="K161" s="446">
        <f>J161*100/F161</f>
        <v>100</v>
      </c>
      <c r="L161" s="447" t="s">
        <v>434</v>
      </c>
      <c r="M161" s="432">
        <v>611.5</v>
      </c>
      <c r="N161" s="633"/>
      <c r="O161" s="389">
        <v>932.4</v>
      </c>
      <c r="P161" s="391">
        <f>J161-O161</f>
        <v>0</v>
      </c>
      <c r="Q161" s="392"/>
    </row>
    <row r="162" spans="1:18" s="393" customFormat="1" ht="144.75" customHeight="1">
      <c r="A162" s="417" t="s">
        <v>46</v>
      </c>
      <c r="B162" s="524" t="s">
        <v>30</v>
      </c>
      <c r="C162" s="420">
        <v>37492.400000000001</v>
      </c>
      <c r="D162" s="420">
        <v>124019.8</v>
      </c>
      <c r="E162" s="420"/>
      <c r="F162" s="420">
        <f>E162+D162+C162</f>
        <v>161512.20000000001</v>
      </c>
      <c r="G162" s="420">
        <f>36321.4-0.1</f>
        <v>36321.300000000003</v>
      </c>
      <c r="H162" s="420">
        <f>124007.2+0.1</f>
        <v>124007.3</v>
      </c>
      <c r="I162" s="420"/>
      <c r="J162" s="420">
        <f>SUM(G162:I162)</f>
        <v>160328.6</v>
      </c>
      <c r="K162" s="421">
        <f>J162*100/F162</f>
        <v>99.267176101867221</v>
      </c>
      <c r="L162" s="388" t="s">
        <v>435</v>
      </c>
      <c r="M162" s="422">
        <f>10429.1+2836.6+17.88+1+111.86+4.1+47.7+70.55+583.06+171.75+89.3+0.8</f>
        <v>14363.699999999999</v>
      </c>
      <c r="N162" s="636">
        <f>M162+M163+M164+M165+M166+M167+M169+M168</f>
        <v>118895.3</v>
      </c>
      <c r="O162" s="422">
        <f>13433.31+4025.84+30.99+1+158.38+4.1+47.7+79.6+863.32+445.06+90.4+7.2+1.6</f>
        <v>19188.500000000004</v>
      </c>
      <c r="P162" s="644">
        <f>O162+O163+O164+O165+O168+O169</f>
        <v>160328.6</v>
      </c>
      <c r="Q162" s="391">
        <f>J162-P162</f>
        <v>0</v>
      </c>
    </row>
    <row r="163" spans="1:18" s="393" customFormat="1" ht="70.5" customHeight="1">
      <c r="A163" s="425"/>
      <c r="B163" s="437"/>
      <c r="C163" s="428"/>
      <c r="D163" s="428"/>
      <c r="E163" s="428"/>
      <c r="F163" s="428"/>
      <c r="G163" s="428"/>
      <c r="H163" s="428"/>
      <c r="I163" s="428"/>
      <c r="J163" s="428"/>
      <c r="K163" s="429"/>
      <c r="L163" s="430" t="s">
        <v>436</v>
      </c>
      <c r="M163" s="431">
        <v>95040.2</v>
      </c>
      <c r="N163" s="641"/>
      <c r="O163" s="431">
        <v>122359</v>
      </c>
      <c r="P163" s="645"/>
      <c r="Q163" s="392"/>
    </row>
    <row r="164" spans="1:18" s="393" customFormat="1" ht="145.5" customHeight="1">
      <c r="A164" s="425"/>
      <c r="B164" s="437"/>
      <c r="C164" s="428"/>
      <c r="D164" s="428"/>
      <c r="E164" s="428"/>
      <c r="F164" s="428"/>
      <c r="G164" s="428"/>
      <c r="H164" s="428"/>
      <c r="I164" s="428"/>
      <c r="J164" s="428"/>
      <c r="K164" s="429"/>
      <c r="L164" s="430" t="s">
        <v>437</v>
      </c>
      <c r="M164" s="431">
        <f>5375+41.08+181.2+1526.71+69.2+19.97+130.15+25.16+22.75+41.65+5.29+0.44</f>
        <v>7438.5999999999985</v>
      </c>
      <c r="N164" s="641"/>
      <c r="O164" s="431">
        <f>7210.49+47.44+181.17+2245.87+84.4+73.36+165.58+62.59+130.35+55.28+5.29+0.88</f>
        <v>10262.700000000001</v>
      </c>
      <c r="P164" s="645"/>
      <c r="Q164" s="392"/>
    </row>
    <row r="165" spans="1:18" s="393" customFormat="1" ht="62.25" customHeight="1">
      <c r="A165" s="425"/>
      <c r="B165" s="437"/>
      <c r="C165" s="428"/>
      <c r="D165" s="428"/>
      <c r="E165" s="428"/>
      <c r="F165" s="428"/>
      <c r="G165" s="428"/>
      <c r="H165" s="428"/>
      <c r="I165" s="428"/>
      <c r="J165" s="428"/>
      <c r="K165" s="429"/>
      <c r="L165" s="430" t="s">
        <v>438</v>
      </c>
      <c r="M165" s="431">
        <v>512.79999999999995</v>
      </c>
      <c r="N165" s="641"/>
      <c r="O165" s="643">
        <f>720.5+771+15</f>
        <v>1506.5</v>
      </c>
      <c r="P165" s="645"/>
      <c r="Q165" s="392"/>
    </row>
    <row r="166" spans="1:18" s="393" customFormat="1" ht="39.75" customHeight="1">
      <c r="A166" s="425"/>
      <c r="B166" s="437"/>
      <c r="C166" s="428"/>
      <c r="D166" s="428"/>
      <c r="E166" s="428"/>
      <c r="F166" s="428"/>
      <c r="G166" s="428"/>
      <c r="H166" s="428"/>
      <c r="I166" s="428"/>
      <c r="J166" s="428"/>
      <c r="K166" s="429"/>
      <c r="L166" s="430" t="s">
        <v>302</v>
      </c>
      <c r="M166" s="431">
        <v>563.20000000000005</v>
      </c>
      <c r="N166" s="472"/>
      <c r="O166" s="643"/>
      <c r="P166" s="645"/>
      <c r="Q166" s="392"/>
    </row>
    <row r="167" spans="1:18" s="393" customFormat="1" ht="41.25" customHeight="1">
      <c r="A167" s="425"/>
      <c r="B167" s="437"/>
      <c r="C167" s="428"/>
      <c r="D167" s="428"/>
      <c r="E167" s="428"/>
      <c r="F167" s="428"/>
      <c r="G167" s="428"/>
      <c r="H167" s="428"/>
      <c r="I167" s="428"/>
      <c r="J167" s="428"/>
      <c r="K167" s="429"/>
      <c r="L167" s="430" t="s">
        <v>98</v>
      </c>
      <c r="M167" s="431">
        <v>15</v>
      </c>
      <c r="N167" s="472"/>
      <c r="O167" s="643"/>
      <c r="P167" s="645"/>
      <c r="Q167" s="392"/>
    </row>
    <row r="168" spans="1:18" s="393" customFormat="1" ht="79.5" customHeight="1">
      <c r="A168" s="425"/>
      <c r="B168" s="437"/>
      <c r="C168" s="428"/>
      <c r="D168" s="428"/>
      <c r="E168" s="428"/>
      <c r="F168" s="428"/>
      <c r="G168" s="428"/>
      <c r="H168" s="428"/>
      <c r="I168" s="428"/>
      <c r="J168" s="428"/>
      <c r="K168" s="429"/>
      <c r="L168" s="437" t="s">
        <v>439</v>
      </c>
      <c r="M168" s="431">
        <v>869</v>
      </c>
      <c r="N168" s="472"/>
      <c r="O168" s="431">
        <v>6867.1</v>
      </c>
      <c r="P168" s="645"/>
      <c r="Q168" s="392"/>
    </row>
    <row r="169" spans="1:18" s="393" customFormat="1" ht="103.5" customHeight="1">
      <c r="A169" s="484"/>
      <c r="B169" s="442"/>
      <c r="C169" s="440"/>
      <c r="D169" s="440"/>
      <c r="E169" s="440"/>
      <c r="F169" s="440"/>
      <c r="G169" s="440"/>
      <c r="H169" s="440"/>
      <c r="I169" s="440"/>
      <c r="J169" s="440"/>
      <c r="K169" s="441"/>
      <c r="L169" s="442" t="s">
        <v>440</v>
      </c>
      <c r="M169" s="432">
        <f>57.9+11.5+8+14.4+1</f>
        <v>92.800000000000011</v>
      </c>
      <c r="N169" s="479"/>
      <c r="O169" s="432">
        <f>73.5+11.5+10.4+14.4+4.9+20.6+9.5</f>
        <v>144.80000000000001</v>
      </c>
      <c r="P169" s="646"/>
      <c r="Q169" s="392"/>
    </row>
    <row r="170" spans="1:18" s="393" customFormat="1" ht="108.75" customHeight="1">
      <c r="A170" s="554" t="s">
        <v>47</v>
      </c>
      <c r="B170" s="448" t="s">
        <v>78</v>
      </c>
      <c r="C170" s="445">
        <v>390</v>
      </c>
      <c r="D170" s="445">
        <v>235.2</v>
      </c>
      <c r="E170" s="445">
        <v>2116</v>
      </c>
      <c r="F170" s="445">
        <f>C170+D170+E170</f>
        <v>2741.2</v>
      </c>
      <c r="G170" s="445">
        <v>390</v>
      </c>
      <c r="H170" s="445">
        <v>235.2</v>
      </c>
      <c r="I170" s="445">
        <v>2116</v>
      </c>
      <c r="J170" s="445">
        <f>I170+H170+G170</f>
        <v>2741.2</v>
      </c>
      <c r="K170" s="446">
        <f>J170*100/F170</f>
        <v>100</v>
      </c>
      <c r="L170" s="447" t="s">
        <v>215</v>
      </c>
      <c r="M170" s="389">
        <v>2741.2</v>
      </c>
      <c r="N170" s="390"/>
      <c r="O170" s="389">
        <v>2741.2</v>
      </c>
      <c r="P170" s="391"/>
      <c r="Q170" s="392"/>
    </row>
    <row r="171" spans="1:18" s="393" customFormat="1" ht="281.25" customHeight="1">
      <c r="A171" s="684" t="s">
        <v>49</v>
      </c>
      <c r="B171" s="650" t="s">
        <v>87</v>
      </c>
      <c r="C171" s="420">
        <v>3684.9</v>
      </c>
      <c r="D171" s="420">
        <v>652</v>
      </c>
      <c r="E171" s="420"/>
      <c r="F171" s="420">
        <f>E171+D171+C171</f>
        <v>4336.8999999999996</v>
      </c>
      <c r="G171" s="652">
        <v>3105.1</v>
      </c>
      <c r="H171" s="652">
        <v>648.6</v>
      </c>
      <c r="I171" s="673"/>
      <c r="J171" s="652">
        <f>I171+H171+G171</f>
        <v>3753.7</v>
      </c>
      <c r="K171" s="680">
        <f>J171*100/F171</f>
        <v>86.552606700638719</v>
      </c>
      <c r="L171" s="502" t="s">
        <v>484</v>
      </c>
      <c r="M171" s="422">
        <f>152.6+73.5+1208.5+2.5+37.2+7.5+71.3+3.9+205.2+0.1</f>
        <v>1762.3</v>
      </c>
      <c r="N171" s="636">
        <f>M171+M172</f>
        <v>2234.1999999999998</v>
      </c>
      <c r="O171" s="422">
        <f>1646.51+367.26+184.4+205.2+610.8+0.4+10.17+2.16+1.5+5.4+71.3</f>
        <v>3105.1000000000004</v>
      </c>
      <c r="P171" s="621">
        <f>O171+O172</f>
        <v>3753.7000000000003</v>
      </c>
      <c r="Q171" s="679">
        <f>J171-P171</f>
        <v>0</v>
      </c>
    </row>
    <row r="172" spans="1:18" s="393" customFormat="1" ht="42" customHeight="1">
      <c r="A172" s="685"/>
      <c r="B172" s="651"/>
      <c r="C172" s="440"/>
      <c r="D172" s="440"/>
      <c r="E172" s="440"/>
      <c r="F172" s="440"/>
      <c r="G172" s="653"/>
      <c r="H172" s="653"/>
      <c r="I172" s="668"/>
      <c r="J172" s="653"/>
      <c r="K172" s="672"/>
      <c r="L172" s="555" t="s">
        <v>344</v>
      </c>
      <c r="M172" s="432">
        <v>471.9</v>
      </c>
      <c r="N172" s="637"/>
      <c r="O172" s="432">
        <v>648.6</v>
      </c>
      <c r="P172" s="623"/>
      <c r="Q172" s="679"/>
    </row>
    <row r="173" spans="1:18" s="393" customFormat="1" ht="142.5" customHeight="1">
      <c r="A173" s="544" t="s">
        <v>50</v>
      </c>
      <c r="B173" s="448" t="s">
        <v>79</v>
      </c>
      <c r="C173" s="445">
        <f t="shared" ref="C173:J173" si="6">C174+C179+C180</f>
        <v>34068.5</v>
      </c>
      <c r="D173" s="445">
        <f t="shared" si="6"/>
        <v>17361.3</v>
      </c>
      <c r="E173" s="445">
        <f t="shared" si="6"/>
        <v>0</v>
      </c>
      <c r="F173" s="445">
        <f t="shared" si="6"/>
        <v>51429.8</v>
      </c>
      <c r="G173" s="445">
        <f t="shared" si="6"/>
        <v>33013.1</v>
      </c>
      <c r="H173" s="445">
        <f t="shared" si="6"/>
        <v>5666.6</v>
      </c>
      <c r="I173" s="445">
        <f t="shared" si="6"/>
        <v>0</v>
      </c>
      <c r="J173" s="445">
        <f t="shared" si="6"/>
        <v>38679.699999999997</v>
      </c>
      <c r="K173" s="446">
        <f t="shared" ref="K173:K181" si="7">J173*100/F173</f>
        <v>75.208731124756454</v>
      </c>
      <c r="L173" s="556"/>
      <c r="M173" s="422"/>
      <c r="N173" s="557">
        <f>M174+M176+M180</f>
        <v>13318.800000000001</v>
      </c>
      <c r="O173" s="389"/>
      <c r="P173" s="391"/>
      <c r="Q173" s="392"/>
    </row>
    <row r="174" spans="1:18" s="393" customFormat="1" ht="90" customHeight="1">
      <c r="A174" s="551" t="s">
        <v>51</v>
      </c>
      <c r="B174" s="501" t="s">
        <v>14</v>
      </c>
      <c r="C174" s="481">
        <v>16900.2</v>
      </c>
      <c r="D174" s="481">
        <v>17361.3</v>
      </c>
      <c r="E174" s="481"/>
      <c r="F174" s="420">
        <f>E174+D174+C174</f>
        <v>34261.5</v>
      </c>
      <c r="G174" s="481">
        <v>16661.599999999999</v>
      </c>
      <c r="H174" s="481">
        <v>5666.6</v>
      </c>
      <c r="I174" s="481"/>
      <c r="J174" s="420">
        <f>I174+H174+G174</f>
        <v>22328.199999999997</v>
      </c>
      <c r="K174" s="421">
        <f t="shared" si="7"/>
        <v>65.169942938867223</v>
      </c>
      <c r="L174" s="388" t="s">
        <v>481</v>
      </c>
      <c r="M174" s="470">
        <f>38.1+140+20</f>
        <v>198.1</v>
      </c>
      <c r="N174" s="472"/>
      <c r="O174" s="422">
        <v>110.2</v>
      </c>
      <c r="P174" s="621">
        <f>O174+O175+O176+O177</f>
        <v>22328.2</v>
      </c>
      <c r="Q174" s="391"/>
      <c r="R174" s="558"/>
    </row>
    <row r="175" spans="1:18" s="393" customFormat="1" ht="192" customHeight="1">
      <c r="A175" s="552"/>
      <c r="B175" s="507"/>
      <c r="C175" s="436"/>
      <c r="D175" s="436"/>
      <c r="E175" s="436"/>
      <c r="F175" s="428"/>
      <c r="G175" s="436"/>
      <c r="H175" s="436"/>
      <c r="I175" s="436"/>
      <c r="J175" s="428"/>
      <c r="K175" s="429"/>
      <c r="L175" s="430" t="s">
        <v>482</v>
      </c>
      <c r="M175" s="470"/>
      <c r="N175" s="472"/>
      <c r="O175" s="431">
        <f>73.4+292.3+140+20</f>
        <v>525.70000000000005</v>
      </c>
      <c r="P175" s="622"/>
      <c r="Q175" s="391">
        <f>J174-P174</f>
        <v>0</v>
      </c>
      <c r="R175" s="558"/>
    </row>
    <row r="176" spans="1:18" s="393" customFormat="1" ht="67.5" customHeight="1">
      <c r="A176" s="552"/>
      <c r="B176" s="507"/>
      <c r="C176" s="436"/>
      <c r="D176" s="436"/>
      <c r="E176" s="436"/>
      <c r="F176" s="428"/>
      <c r="G176" s="436"/>
      <c r="H176" s="436"/>
      <c r="I176" s="436"/>
      <c r="J176" s="428"/>
      <c r="K176" s="429"/>
      <c r="L176" s="437" t="s">
        <v>483</v>
      </c>
      <c r="M176" s="431">
        <v>1345</v>
      </c>
      <c r="N176" s="472"/>
      <c r="O176" s="559">
        <v>15910</v>
      </c>
      <c r="P176" s="622"/>
      <c r="Q176" s="392"/>
    </row>
    <row r="177" spans="1:26" s="393" customFormat="1" ht="92.25" customHeight="1">
      <c r="A177" s="552"/>
      <c r="B177" s="507"/>
      <c r="C177" s="436"/>
      <c r="D177" s="436"/>
      <c r="E177" s="436"/>
      <c r="F177" s="428"/>
      <c r="G177" s="436"/>
      <c r="H177" s="436"/>
      <c r="I177" s="436"/>
      <c r="J177" s="428"/>
      <c r="K177" s="429"/>
      <c r="L177" s="437" t="s">
        <v>441</v>
      </c>
      <c r="M177" s="431"/>
      <c r="N177" s="472"/>
      <c r="O177" s="432">
        <f>4704+1078.3</f>
        <v>5782.3</v>
      </c>
      <c r="P177" s="623"/>
      <c r="Q177" s="392"/>
    </row>
    <row r="178" spans="1:26" s="393" customFormat="1" ht="69" hidden="1" customHeight="1">
      <c r="A178" s="560"/>
      <c r="B178" s="509"/>
      <c r="C178" s="439"/>
      <c r="D178" s="439"/>
      <c r="E178" s="439"/>
      <c r="F178" s="440"/>
      <c r="G178" s="439"/>
      <c r="H178" s="439"/>
      <c r="I178" s="439"/>
      <c r="J178" s="440"/>
      <c r="K178" s="441"/>
      <c r="L178" s="442"/>
      <c r="M178" s="431"/>
      <c r="N178" s="472"/>
      <c r="O178" s="389"/>
      <c r="P178" s="391"/>
      <c r="Q178" s="392"/>
    </row>
    <row r="179" spans="1:26" ht="39" hidden="1">
      <c r="A179" s="545" t="s">
        <v>52</v>
      </c>
      <c r="B179" s="496" t="s">
        <v>15</v>
      </c>
      <c r="C179" s="489"/>
      <c r="D179" s="489"/>
      <c r="E179" s="489"/>
      <c r="F179" s="445">
        <f>C179+D179+E179</f>
        <v>0</v>
      </c>
      <c r="G179" s="489"/>
      <c r="H179" s="489"/>
      <c r="I179" s="489"/>
      <c r="J179" s="445">
        <f>I179+H179+G179</f>
        <v>0</v>
      </c>
      <c r="K179" s="446">
        <v>0</v>
      </c>
      <c r="L179" s="561"/>
      <c r="M179" s="431"/>
      <c r="N179" s="472"/>
    </row>
    <row r="180" spans="1:26" ht="151.5" customHeight="1">
      <c r="A180" s="548" t="s">
        <v>52</v>
      </c>
      <c r="B180" s="496" t="s">
        <v>5</v>
      </c>
      <c r="C180" s="489">
        <v>17168.3</v>
      </c>
      <c r="D180" s="489"/>
      <c r="E180" s="489"/>
      <c r="F180" s="445">
        <f>E180+D180+C180</f>
        <v>17168.3</v>
      </c>
      <c r="G180" s="489">
        <v>16351.5</v>
      </c>
      <c r="H180" s="489"/>
      <c r="I180" s="489"/>
      <c r="J180" s="445">
        <f>I180+H180+G180</f>
        <v>16351.5</v>
      </c>
      <c r="K180" s="446">
        <f t="shared" si="7"/>
        <v>95.242394412958774</v>
      </c>
      <c r="L180" s="488" t="s">
        <v>480</v>
      </c>
      <c r="M180" s="432">
        <f>8128.45+41.23+2+2331.96+81.6+206.1+77.1+417.1+153.1+243.1+88.56+2.3+3.1</f>
        <v>11775.7</v>
      </c>
      <c r="N180" s="479"/>
      <c r="O180" s="389">
        <f>11042.12+56.7+4+3526.02+108.66+254.7+129.08+631.72+166.43+243.1+170.33+2.29+12.35+4</f>
        <v>16351.500000000004</v>
      </c>
      <c r="P180" s="391">
        <f>J180-O180</f>
        <v>0</v>
      </c>
    </row>
    <row r="181" spans="1:26" ht="91.5" customHeight="1">
      <c r="A181" s="443" t="s">
        <v>53</v>
      </c>
      <c r="B181" s="444" t="s">
        <v>80</v>
      </c>
      <c r="C181" s="445">
        <v>50</v>
      </c>
      <c r="D181" s="445"/>
      <c r="E181" s="445"/>
      <c r="F181" s="445">
        <f>E181+D181+C181</f>
        <v>50</v>
      </c>
      <c r="G181" s="445">
        <v>50</v>
      </c>
      <c r="H181" s="445"/>
      <c r="I181" s="445"/>
      <c r="J181" s="445">
        <f>SUM(G181:I181)</f>
        <v>50</v>
      </c>
      <c r="K181" s="446">
        <f t="shared" si="7"/>
        <v>100</v>
      </c>
      <c r="L181" s="488" t="s">
        <v>442</v>
      </c>
      <c r="O181" s="389">
        <v>50</v>
      </c>
      <c r="P181" s="391">
        <f>J181-O181</f>
        <v>0</v>
      </c>
    </row>
    <row r="182" spans="1:26" s="494" customFormat="1" ht="40.5" customHeight="1">
      <c r="A182" s="681" t="s">
        <v>54</v>
      </c>
      <c r="B182" s="682"/>
      <c r="C182" s="562">
        <f t="shared" ref="C182:J182" si="8">C148+C173+C171+C132+C170+C138+C139+C68+C121+C144+C107+C70+C18+C162+C181+C17+C7</f>
        <v>779892.29999999993</v>
      </c>
      <c r="D182" s="562">
        <f t="shared" si="8"/>
        <v>1152305.3</v>
      </c>
      <c r="E182" s="562">
        <f t="shared" si="8"/>
        <v>120225.4</v>
      </c>
      <c r="F182" s="562">
        <f t="shared" si="8"/>
        <v>2052422.9999999998</v>
      </c>
      <c r="G182" s="562">
        <f t="shared" si="8"/>
        <v>709081.59999999998</v>
      </c>
      <c r="H182" s="562">
        <f t="shared" si="8"/>
        <v>1109925</v>
      </c>
      <c r="I182" s="562">
        <f t="shared" si="8"/>
        <v>118970.90000000001</v>
      </c>
      <c r="J182" s="562">
        <f t="shared" si="8"/>
        <v>1937977.5000000002</v>
      </c>
      <c r="K182" s="563">
        <f>J182/F182*100</f>
        <v>94.423883380765091</v>
      </c>
      <c r="L182" s="564"/>
      <c r="M182" s="389"/>
      <c r="N182" s="390"/>
      <c r="O182" s="389"/>
      <c r="P182" s="391"/>
      <c r="Q182" s="392"/>
      <c r="R182" s="565"/>
      <c r="S182" s="565"/>
      <c r="T182" s="565"/>
      <c r="U182" s="565"/>
      <c r="V182" s="565"/>
      <c r="W182" s="565"/>
      <c r="X182" s="565"/>
      <c r="Y182" s="565"/>
      <c r="Z182" s="565"/>
    </row>
    <row r="183" spans="1:26" s="494" customFormat="1" ht="40.5" hidden="1" customHeight="1">
      <c r="A183" s="566"/>
      <c r="B183" s="566"/>
      <c r="C183" s="567">
        <v>748770.2</v>
      </c>
      <c r="D183" s="567">
        <v>880402.6</v>
      </c>
      <c r="E183" s="567">
        <v>260171.6</v>
      </c>
      <c r="F183" s="567">
        <v>1889344.3</v>
      </c>
      <c r="G183" s="567">
        <v>335269.2</v>
      </c>
      <c r="H183" s="567">
        <v>377485.6</v>
      </c>
      <c r="I183" s="567">
        <v>80128.600000000006</v>
      </c>
      <c r="J183" s="567">
        <v>792883.4</v>
      </c>
      <c r="K183" s="568"/>
      <c r="L183" s="569"/>
      <c r="M183" s="389"/>
      <c r="N183" s="390"/>
      <c r="O183" s="389"/>
      <c r="P183" s="391"/>
      <c r="Q183" s="392"/>
      <c r="R183" s="565"/>
      <c r="S183" s="565"/>
      <c r="T183" s="565"/>
      <c r="U183" s="565"/>
      <c r="V183" s="565"/>
      <c r="W183" s="565"/>
      <c r="X183" s="565"/>
      <c r="Y183" s="565"/>
      <c r="Z183" s="565"/>
    </row>
    <row r="184" spans="1:26" s="494" customFormat="1" ht="108.75" hidden="1" customHeight="1">
      <c r="A184" s="566"/>
      <c r="B184" s="566"/>
      <c r="C184" s="567">
        <f>14175.4+48+393503.9+5051.2+102635.5+14833.7+13008.7+28368.7+21+198+1802.5+28261.1+41163.9+390+4079.5+101122+107</f>
        <v>748770.1</v>
      </c>
      <c r="D184" s="567">
        <f>2011.3+625383.9+455+471.9+1464.7+96572+3513+2000+20000+111027.6+192.7+523+16787.4</f>
        <v>880402.5</v>
      </c>
      <c r="E184" s="567">
        <f>230.6+71229.3+165.8+115303+11061.5+737.8+61443.6</f>
        <v>260171.6</v>
      </c>
      <c r="F184" s="567">
        <f>16417.3+48+1090117.1+5506.2+103273.2+131601.4+120642.2+31881.7+21+198+3802.5+48261.1+152191.5+1320.5+4602.5+179353+107</f>
        <v>1889344.2</v>
      </c>
      <c r="G184" s="567">
        <f>5825.1+35.2+181824.6+2660.1+45161+5746.8+6852.4+8306.2+6.1+6.9+809.7+1488.2+69577.5+1403.3+5566</f>
        <v>335269.10000000003</v>
      </c>
      <c r="H184" s="567">
        <f>757.9+330096.2+157.6+206.7+501+41396.2+1000+772.2+323.6+2274.2</f>
        <v>377485.60000000003</v>
      </c>
      <c r="I184" s="567">
        <f>230.6+32492.7+165.8+19899.9+9396+17943.6</f>
        <v>80128.600000000006</v>
      </c>
      <c r="J184" s="567">
        <f>6813.6+35.2+544413.5+2817.7+45533.5+26147.7+57644.6+8306.2+6.1+6.9+1809.7+1488.2+70349.7+1726.9+25783.8</f>
        <v>792883.29999999981</v>
      </c>
      <c r="K184" s="568"/>
      <c r="L184" s="569"/>
      <c r="M184" s="389"/>
      <c r="N184" s="390"/>
      <c r="O184" s="389"/>
      <c r="P184" s="391"/>
      <c r="Q184" s="392"/>
      <c r="R184" s="565"/>
      <c r="S184" s="565"/>
      <c r="T184" s="565"/>
      <c r="U184" s="565"/>
      <c r="V184" s="565"/>
      <c r="W184" s="565"/>
      <c r="X184" s="565"/>
      <c r="Y184" s="565"/>
      <c r="Z184" s="565"/>
    </row>
    <row r="185" spans="1:26" hidden="1">
      <c r="A185" s="570"/>
      <c r="B185" s="571"/>
      <c r="C185" s="572">
        <f>C184-C182</f>
        <v>-31122.199999999953</v>
      </c>
      <c r="D185" s="572">
        <f t="shared" ref="D185:J185" si="9">D184-D182</f>
        <v>-271902.80000000005</v>
      </c>
      <c r="E185" s="572">
        <f t="shared" si="9"/>
        <v>139946.20000000001</v>
      </c>
      <c r="F185" s="572">
        <f t="shared" si="9"/>
        <v>-163078.79999999981</v>
      </c>
      <c r="G185" s="572">
        <f t="shared" si="9"/>
        <v>-373812.49999999994</v>
      </c>
      <c r="H185" s="572">
        <f t="shared" si="9"/>
        <v>-732439.39999999991</v>
      </c>
      <c r="I185" s="572">
        <f t="shared" si="9"/>
        <v>-38842.300000000003</v>
      </c>
      <c r="J185" s="572">
        <f t="shared" si="9"/>
        <v>-1145094.2000000004</v>
      </c>
      <c r="K185" s="573"/>
      <c r="L185" s="570"/>
    </row>
    <row r="186" spans="1:26" ht="27.75" hidden="1" customHeight="1">
      <c r="A186" s="570"/>
      <c r="B186" s="571"/>
      <c r="C186" s="572"/>
      <c r="D186" s="572"/>
      <c r="E186" s="572"/>
      <c r="F186" s="572"/>
      <c r="G186" s="572"/>
      <c r="H186" s="572"/>
      <c r="I186" s="572"/>
      <c r="J186" s="572"/>
      <c r="K186" s="573"/>
      <c r="L186" s="570"/>
    </row>
    <row r="187" spans="1:26" ht="27.75" hidden="1" customHeight="1">
      <c r="A187" s="570"/>
      <c r="B187" s="571"/>
      <c r="C187" s="572"/>
      <c r="D187" s="572"/>
      <c r="E187" s="572"/>
      <c r="F187" s="572"/>
      <c r="G187" s="572"/>
      <c r="H187" s="572"/>
      <c r="I187" s="572"/>
      <c r="J187" s="572"/>
      <c r="K187" s="574"/>
      <c r="L187" s="570"/>
    </row>
    <row r="188" spans="1:26" ht="27.75" customHeight="1">
      <c r="A188" s="570"/>
      <c r="B188" s="571"/>
      <c r="C188" s="567"/>
      <c r="D188" s="567"/>
      <c r="E188" s="567"/>
      <c r="F188" s="567"/>
      <c r="G188" s="567"/>
      <c r="H188" s="567"/>
      <c r="I188" s="567"/>
      <c r="J188" s="567"/>
      <c r="K188" s="574"/>
      <c r="L188" s="570"/>
    </row>
    <row r="189" spans="1:26" ht="27.75" customHeight="1">
      <c r="A189" s="570"/>
      <c r="B189" s="571"/>
      <c r="C189" s="575"/>
      <c r="D189" s="575"/>
      <c r="E189" s="575"/>
      <c r="F189" s="575"/>
      <c r="G189" s="575"/>
      <c r="H189" s="575"/>
      <c r="I189" s="575"/>
      <c r="J189" s="575"/>
      <c r="K189" s="574"/>
      <c r="L189" s="570"/>
    </row>
    <row r="190" spans="1:26" ht="82.5" customHeight="1">
      <c r="A190" s="576" t="s">
        <v>214</v>
      </c>
      <c r="B190" s="576"/>
      <c r="C190" s="572"/>
      <c r="D190" s="572"/>
      <c r="E190" s="572"/>
      <c r="F190" s="572"/>
      <c r="G190" s="572"/>
      <c r="H190" s="572"/>
      <c r="I190" s="572"/>
      <c r="J190" s="572"/>
      <c r="K190" s="573"/>
      <c r="L190" s="570"/>
    </row>
    <row r="191" spans="1:26">
      <c r="A191" s="577" t="s">
        <v>55</v>
      </c>
      <c r="B191" s="577"/>
      <c r="C191" s="578"/>
      <c r="D191" s="572"/>
      <c r="E191" s="572"/>
      <c r="F191" s="572"/>
      <c r="G191" s="572"/>
      <c r="H191" s="572"/>
      <c r="I191" s="572"/>
      <c r="J191" s="572"/>
      <c r="K191" s="573"/>
      <c r="L191" s="570"/>
    </row>
    <row r="192" spans="1:26">
      <c r="A192" s="579" t="s">
        <v>152</v>
      </c>
      <c r="B192" s="579"/>
      <c r="C192" s="580"/>
      <c r="D192" s="581"/>
      <c r="E192" s="582"/>
      <c r="L192" s="584" t="s">
        <v>56</v>
      </c>
    </row>
    <row r="193" spans="1:26" ht="20.25">
      <c r="B193" s="585"/>
      <c r="D193" s="582"/>
      <c r="E193" s="582"/>
    </row>
    <row r="194" spans="1:26" ht="48.75" customHeight="1">
      <c r="D194" s="582"/>
      <c r="E194" s="582"/>
      <c r="L194" s="407"/>
    </row>
    <row r="195" spans="1:26">
      <c r="A195" s="394" t="s">
        <v>57</v>
      </c>
      <c r="D195" s="582"/>
      <c r="E195" s="582"/>
      <c r="L195" s="586"/>
    </row>
    <row r="196" spans="1:26" hidden="1">
      <c r="A196" s="394" t="s">
        <v>70</v>
      </c>
      <c r="D196" s="582"/>
      <c r="E196" s="582"/>
      <c r="L196" s="586"/>
    </row>
    <row r="197" spans="1:26" s="389" customFormat="1" hidden="1">
      <c r="A197" s="394" t="s">
        <v>71</v>
      </c>
      <c r="B197" s="394"/>
      <c r="C197" s="397"/>
      <c r="D197" s="582"/>
      <c r="E197" s="582"/>
      <c r="F197" s="398"/>
      <c r="G197" s="397"/>
      <c r="H197" s="397"/>
      <c r="I197" s="397"/>
      <c r="J197" s="398"/>
      <c r="K197" s="583"/>
      <c r="L197" s="586"/>
      <c r="N197" s="390"/>
      <c r="P197" s="391"/>
      <c r="Q197" s="392"/>
      <c r="R197" s="393"/>
      <c r="S197" s="393"/>
      <c r="T197" s="393"/>
      <c r="U197" s="393"/>
      <c r="V197" s="393"/>
      <c r="W197" s="393"/>
      <c r="X197" s="393"/>
      <c r="Y197" s="393"/>
      <c r="Z197" s="393"/>
    </row>
    <row r="198" spans="1:26" s="389" customFormat="1" ht="24.75" customHeight="1">
      <c r="A198" s="683" t="s">
        <v>110</v>
      </c>
      <c r="B198" s="683"/>
      <c r="C198" s="397"/>
      <c r="D198" s="582"/>
      <c r="E198" s="582"/>
      <c r="F198" s="398"/>
      <c r="G198" s="397"/>
      <c r="H198" s="397"/>
      <c r="I198" s="397"/>
      <c r="J198" s="398"/>
      <c r="K198" s="583"/>
      <c r="L198" s="587"/>
      <c r="N198" s="390"/>
      <c r="P198" s="391"/>
      <c r="Q198" s="392"/>
      <c r="R198" s="393"/>
      <c r="S198" s="393"/>
      <c r="T198" s="393"/>
      <c r="U198" s="393"/>
      <c r="V198" s="393"/>
      <c r="W198" s="393"/>
      <c r="X198" s="393"/>
      <c r="Y198" s="393"/>
      <c r="Z198" s="393"/>
    </row>
    <row r="199" spans="1:26" s="389" customFormat="1">
      <c r="A199" s="394"/>
      <c r="B199" s="394"/>
      <c r="C199" s="397"/>
      <c r="D199" s="582"/>
      <c r="E199" s="582"/>
      <c r="F199" s="398"/>
      <c r="G199" s="397"/>
      <c r="H199" s="397"/>
      <c r="I199" s="397"/>
      <c r="J199" s="398"/>
      <c r="K199" s="583"/>
      <c r="L199" s="394"/>
      <c r="N199" s="390"/>
      <c r="P199" s="391"/>
      <c r="Q199" s="392"/>
      <c r="R199" s="393"/>
      <c r="S199" s="393"/>
      <c r="T199" s="393"/>
      <c r="U199" s="393"/>
      <c r="V199" s="393"/>
      <c r="W199" s="393"/>
      <c r="X199" s="393"/>
      <c r="Y199" s="393"/>
      <c r="Z199" s="393"/>
    </row>
    <row r="200" spans="1:26" s="389" customFormat="1">
      <c r="A200" s="394"/>
      <c r="B200" s="394"/>
      <c r="C200" s="397"/>
      <c r="D200" s="582"/>
      <c r="E200" s="582"/>
      <c r="F200" s="398"/>
      <c r="G200" s="397"/>
      <c r="H200" s="397"/>
      <c r="I200" s="397"/>
      <c r="J200" s="398"/>
      <c r="K200" s="583"/>
      <c r="L200" s="394"/>
      <c r="N200" s="390"/>
      <c r="P200" s="391"/>
      <c r="Q200" s="392"/>
      <c r="R200" s="393"/>
      <c r="S200" s="393"/>
      <c r="T200" s="393"/>
      <c r="U200" s="393"/>
      <c r="V200" s="393"/>
      <c r="W200" s="393"/>
      <c r="X200" s="393"/>
      <c r="Y200" s="393"/>
      <c r="Z200" s="393"/>
    </row>
    <row r="201" spans="1:26" s="389" customFormat="1">
      <c r="A201" s="394"/>
      <c r="B201" s="394"/>
      <c r="C201" s="397"/>
      <c r="D201" s="582"/>
      <c r="E201" s="582"/>
      <c r="F201" s="398"/>
      <c r="G201" s="397"/>
      <c r="H201" s="397"/>
      <c r="I201" s="397"/>
      <c r="J201" s="398"/>
      <c r="K201" s="583"/>
      <c r="L201" s="586"/>
      <c r="N201" s="390"/>
      <c r="P201" s="391"/>
      <c r="Q201" s="392"/>
      <c r="R201" s="393"/>
      <c r="S201" s="393"/>
      <c r="T201" s="393"/>
      <c r="U201" s="393"/>
      <c r="V201" s="393"/>
      <c r="W201" s="393"/>
      <c r="X201" s="393"/>
      <c r="Y201" s="393"/>
      <c r="Z201" s="393"/>
    </row>
    <row r="202" spans="1:26" s="389" customFormat="1">
      <c r="A202" s="394"/>
      <c r="B202" s="394"/>
      <c r="C202" s="397"/>
      <c r="D202" s="582"/>
      <c r="E202" s="582"/>
      <c r="F202" s="398"/>
      <c r="G202" s="397"/>
      <c r="H202" s="397"/>
      <c r="I202" s="397"/>
      <c r="J202" s="398"/>
      <c r="K202" s="583"/>
      <c r="L202" s="586"/>
      <c r="N202" s="390"/>
      <c r="P202" s="391"/>
      <c r="Q202" s="392"/>
      <c r="R202" s="393"/>
      <c r="S202" s="393"/>
      <c r="T202" s="393"/>
      <c r="U202" s="393"/>
      <c r="V202" s="393"/>
      <c r="W202" s="393"/>
      <c r="X202" s="393"/>
      <c r="Y202" s="393"/>
      <c r="Z202" s="393"/>
    </row>
    <row r="203" spans="1:26" s="389" customFormat="1">
      <c r="A203" s="394"/>
      <c r="B203" s="394"/>
      <c r="C203" s="397"/>
      <c r="D203" s="582"/>
      <c r="E203" s="582"/>
      <c r="F203" s="398"/>
      <c r="G203" s="397"/>
      <c r="H203" s="397"/>
      <c r="I203" s="397"/>
      <c r="J203" s="398"/>
      <c r="K203" s="583"/>
      <c r="L203" s="394"/>
      <c r="N203" s="390"/>
      <c r="P203" s="391"/>
      <c r="Q203" s="392"/>
      <c r="R203" s="393"/>
      <c r="S203" s="393"/>
      <c r="T203" s="393"/>
      <c r="U203" s="393"/>
      <c r="V203" s="393"/>
      <c r="W203" s="393"/>
      <c r="X203" s="393"/>
      <c r="Y203" s="393"/>
      <c r="Z203" s="393"/>
    </row>
    <row r="204" spans="1:26" s="389" customFormat="1">
      <c r="A204" s="394"/>
      <c r="B204" s="394"/>
      <c r="C204" s="397"/>
      <c r="D204" s="582"/>
      <c r="E204" s="582"/>
      <c r="F204" s="398"/>
      <c r="G204" s="397"/>
      <c r="H204" s="397"/>
      <c r="I204" s="397"/>
      <c r="J204" s="398"/>
      <c r="K204" s="583"/>
      <c r="L204" s="394"/>
      <c r="N204" s="390"/>
      <c r="P204" s="391"/>
      <c r="Q204" s="392"/>
      <c r="R204" s="393"/>
      <c r="S204" s="393"/>
      <c r="T204" s="393"/>
      <c r="U204" s="393"/>
      <c r="V204" s="393"/>
      <c r="W204" s="393"/>
      <c r="X204" s="393"/>
      <c r="Y204" s="393"/>
      <c r="Z204" s="393"/>
    </row>
    <row r="205" spans="1:26" s="389" customFormat="1">
      <c r="A205" s="394"/>
      <c r="B205" s="394"/>
      <c r="C205" s="397"/>
      <c r="D205" s="582"/>
      <c r="E205" s="582"/>
      <c r="F205" s="398"/>
      <c r="G205" s="397"/>
      <c r="H205" s="397"/>
      <c r="I205" s="397"/>
      <c r="J205" s="398"/>
      <c r="K205" s="583"/>
      <c r="L205" s="394"/>
      <c r="N205" s="390"/>
      <c r="P205" s="391"/>
      <c r="Q205" s="392"/>
      <c r="R205" s="393"/>
      <c r="S205" s="393"/>
      <c r="T205" s="393"/>
      <c r="U205" s="393"/>
      <c r="V205" s="393"/>
      <c r="W205" s="393"/>
      <c r="X205" s="393"/>
      <c r="Y205" s="393"/>
      <c r="Z205" s="393"/>
    </row>
    <row r="206" spans="1:26" s="389" customFormat="1">
      <c r="A206" s="394"/>
      <c r="B206" s="394"/>
      <c r="C206" s="397"/>
      <c r="D206" s="582"/>
      <c r="E206" s="582"/>
      <c r="F206" s="398"/>
      <c r="G206" s="397"/>
      <c r="H206" s="397"/>
      <c r="I206" s="397"/>
      <c r="J206" s="398"/>
      <c r="K206" s="583"/>
      <c r="L206" s="394"/>
      <c r="N206" s="390"/>
      <c r="P206" s="391"/>
      <c r="Q206" s="392"/>
      <c r="R206" s="393"/>
      <c r="S206" s="393"/>
      <c r="T206" s="393"/>
      <c r="U206" s="393"/>
      <c r="V206" s="393"/>
      <c r="W206" s="393"/>
      <c r="X206" s="393"/>
      <c r="Y206" s="393"/>
      <c r="Z206" s="393"/>
    </row>
    <row r="207" spans="1:26" s="389" customFormat="1">
      <c r="A207" s="394"/>
      <c r="B207" s="394"/>
      <c r="C207" s="397"/>
      <c r="D207" s="582"/>
      <c r="E207" s="582"/>
      <c r="F207" s="398"/>
      <c r="G207" s="397"/>
      <c r="H207" s="397"/>
      <c r="I207" s="397"/>
      <c r="J207" s="398"/>
      <c r="K207" s="583"/>
      <c r="L207" s="394"/>
      <c r="N207" s="390"/>
      <c r="P207" s="391"/>
      <c r="Q207" s="392"/>
      <c r="R207" s="393"/>
      <c r="S207" s="393"/>
      <c r="T207" s="393"/>
      <c r="U207" s="393"/>
      <c r="V207" s="393"/>
      <c r="W207" s="393"/>
      <c r="X207" s="393"/>
      <c r="Y207" s="393"/>
      <c r="Z207" s="393"/>
    </row>
    <row r="208" spans="1:26" s="389" customFormat="1">
      <c r="A208" s="394"/>
      <c r="B208" s="394"/>
      <c r="C208" s="397"/>
      <c r="D208" s="582"/>
      <c r="E208" s="397"/>
      <c r="F208" s="398"/>
      <c r="G208" s="397"/>
      <c r="H208" s="397"/>
      <c r="I208" s="397"/>
      <c r="J208" s="398"/>
      <c r="K208" s="583"/>
      <c r="L208" s="394"/>
      <c r="N208" s="390"/>
      <c r="P208" s="391"/>
      <c r="Q208" s="392"/>
      <c r="R208" s="393"/>
      <c r="S208" s="393"/>
      <c r="T208" s="393"/>
      <c r="U208" s="393"/>
      <c r="V208" s="393"/>
      <c r="W208" s="393"/>
      <c r="X208" s="393"/>
      <c r="Y208" s="393"/>
      <c r="Z208" s="393"/>
    </row>
    <row r="209" spans="1:26" s="389" customFormat="1">
      <c r="A209" s="394"/>
      <c r="B209" s="394"/>
      <c r="C209" s="397"/>
      <c r="D209" s="582"/>
      <c r="E209" s="397"/>
      <c r="F209" s="398"/>
      <c r="G209" s="397"/>
      <c r="H209" s="397"/>
      <c r="I209" s="397"/>
      <c r="J209" s="398"/>
      <c r="K209" s="583"/>
      <c r="L209" s="394"/>
      <c r="N209" s="390"/>
      <c r="P209" s="391"/>
      <c r="Q209" s="392"/>
      <c r="R209" s="393"/>
      <c r="S209" s="393"/>
      <c r="T209" s="393"/>
      <c r="U209" s="393"/>
      <c r="V209" s="393"/>
      <c r="W209" s="393"/>
      <c r="X209" s="393"/>
      <c r="Y209" s="393"/>
      <c r="Z209" s="393"/>
    </row>
  </sheetData>
  <sheetProtection formatCells="0" formatColumns="0" formatRows="0" insertColumns="0" insertRows="0" insertHyperlinks="0" deleteColumns="0" deleteRows="0" sort="0" autoFilter="0" pivotTables="0"/>
  <mergeCells count="90">
    <mergeCell ref="M99:M101"/>
    <mergeCell ref="F68:F69"/>
    <mergeCell ref="L75:L76"/>
    <mergeCell ref="M75:M76"/>
    <mergeCell ref="M91:M92"/>
    <mergeCell ref="Q105:Q106"/>
    <mergeCell ref="P103:P104"/>
    <mergeCell ref="Q103:Q104"/>
    <mergeCell ref="P99:P101"/>
    <mergeCell ref="P68:P69"/>
    <mergeCell ref="Q68:Q69"/>
    <mergeCell ref="A182:B182"/>
    <mergeCell ref="A198:B198"/>
    <mergeCell ref="A171:A172"/>
    <mergeCell ref="B171:B172"/>
    <mergeCell ref="G171:G172"/>
    <mergeCell ref="H171:H172"/>
    <mergeCell ref="I171:I172"/>
    <mergeCell ref="N132:N137"/>
    <mergeCell ref="R132:R137"/>
    <mergeCell ref="N149:N161"/>
    <mergeCell ref="N162:N165"/>
    <mergeCell ref="P171:P172"/>
    <mergeCell ref="Q171:Q172"/>
    <mergeCell ref="P132:P137"/>
    <mergeCell ref="Q132:Q137"/>
    <mergeCell ref="J171:J172"/>
    <mergeCell ref="K171:K172"/>
    <mergeCell ref="N171:N172"/>
    <mergeCell ref="P144:P146"/>
    <mergeCell ref="O165:O167"/>
    <mergeCell ref="P162:P169"/>
    <mergeCell ref="Q127:Q131"/>
    <mergeCell ref="B118:B120"/>
    <mergeCell ref="C118:C120"/>
    <mergeCell ref="D118:D120"/>
    <mergeCell ref="E118:E120"/>
    <mergeCell ref="F118:F120"/>
    <mergeCell ref="G118:G120"/>
    <mergeCell ref="N107:N120"/>
    <mergeCell ref="H118:H120"/>
    <mergeCell ref="I118:I120"/>
    <mergeCell ref="J118:J120"/>
    <mergeCell ref="K118:K120"/>
    <mergeCell ref="P122:P123"/>
    <mergeCell ref="A1:L1"/>
    <mergeCell ref="A2:L2"/>
    <mergeCell ref="A4:A5"/>
    <mergeCell ref="B4:B5"/>
    <mergeCell ref="C4:F4"/>
    <mergeCell ref="G4:J4"/>
    <mergeCell ref="K4:K5"/>
    <mergeCell ref="L4:L5"/>
    <mergeCell ref="A68:A69"/>
    <mergeCell ref="B68:B69"/>
    <mergeCell ref="C68:C69"/>
    <mergeCell ref="N7:N16"/>
    <mergeCell ref="N19:N48"/>
    <mergeCell ref="D68:D69"/>
    <mergeCell ref="E68:E69"/>
    <mergeCell ref="P22:P23"/>
    <mergeCell ref="N58:N64"/>
    <mergeCell ref="N98:N102"/>
    <mergeCell ref="O7:O8"/>
    <mergeCell ref="O75:O77"/>
    <mergeCell ref="P12:P14"/>
    <mergeCell ref="P7:P10"/>
    <mergeCell ref="N83:N95"/>
    <mergeCell ref="P84:P87"/>
    <mergeCell ref="P58:P64"/>
    <mergeCell ref="O84:O85"/>
    <mergeCell ref="O92:O94"/>
    <mergeCell ref="O22:O23"/>
    <mergeCell ref="P32:P34"/>
    <mergeCell ref="P174:P177"/>
    <mergeCell ref="P149:P155"/>
    <mergeCell ref="Q124:Q126"/>
    <mergeCell ref="M72:M74"/>
    <mergeCell ref="P91:P92"/>
    <mergeCell ref="N71:N79"/>
    <mergeCell ref="P127:P131"/>
    <mergeCell ref="N122:N123"/>
    <mergeCell ref="N103:N104"/>
    <mergeCell ref="N105:N106"/>
    <mergeCell ref="Q122:Q123"/>
    <mergeCell ref="P124:P126"/>
    <mergeCell ref="N124:N126"/>
    <mergeCell ref="P116:P119"/>
    <mergeCell ref="P105:P106"/>
    <mergeCell ref="O72:O74"/>
  </mergeCells>
  <pageMargins left="0.15748031496062992" right="0.15748031496062992" top="0.43307086614173229" bottom="0.19685039370078741" header="0" footer="0"/>
  <pageSetup paperSize="9" scale="39" fitToHeight="0" orientation="landscape" r:id="rId1"/>
  <rowBreaks count="21" manualBreakCount="21">
    <brk id="12" max="11" man="1"/>
    <brk id="23" max="11" man="1"/>
    <brk id="24" max="11" man="1"/>
    <brk id="33" max="11" man="1"/>
    <brk id="49" max="11" man="1"/>
    <brk id="61" max="11" man="1"/>
    <brk id="69" max="11" man="1"/>
    <brk id="73" max="11" man="1"/>
    <brk id="77" max="11" man="1"/>
    <brk id="85" max="11" man="1"/>
    <brk id="91" max="11" man="1"/>
    <brk id="99" max="11" man="1"/>
    <brk id="104" max="11" man="1"/>
    <brk id="111" max="11" man="1"/>
    <brk id="118" max="11" man="1"/>
    <brk id="129" max="11" man="1"/>
    <brk id="138" max="11" man="1"/>
    <brk id="146" max="11" man="1"/>
    <brk id="153" max="11" man="1"/>
    <brk id="169" max="11" man="1"/>
    <brk id="18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57" t="s">
        <v>92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</row>
    <row r="2" spans="1:26" ht="34.5" customHeight="1">
      <c r="A2" s="657" t="s">
        <v>222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90" t="s">
        <v>17</v>
      </c>
      <c r="B4" s="690" t="s">
        <v>18</v>
      </c>
      <c r="C4" s="692" t="s">
        <v>19</v>
      </c>
      <c r="D4" s="693"/>
      <c r="E4" s="693"/>
      <c r="F4" s="694"/>
      <c r="G4" s="692" t="s">
        <v>0</v>
      </c>
      <c r="H4" s="693"/>
      <c r="I4" s="693"/>
      <c r="J4" s="694"/>
      <c r="K4" s="695" t="s">
        <v>211</v>
      </c>
      <c r="L4" s="690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91"/>
      <c r="B5" s="691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96"/>
      <c r="L5" s="691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97">
        <f>M7+M9+M10+M11+M12+M13+M14+M16</f>
        <v>21214.799999999999</v>
      </c>
      <c r="O7" s="700">
        <f>124+19.3+165.3+19.3+120.9+200+182.6+220+220+183.4+183.4+120.9+111.8+742.3+800+27.9+200+183.4+3.1+20</f>
        <v>3847.6000000000004</v>
      </c>
      <c r="P7" s="702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98"/>
      <c r="O8" s="701"/>
      <c r="P8" s="703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98"/>
      <c r="O9" s="340">
        <f>35.7+815.5</f>
        <v>851.2</v>
      </c>
      <c r="P9" s="703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98"/>
      <c r="O10" s="273">
        <f>94.7+3173.5</f>
        <v>3268.2</v>
      </c>
      <c r="P10" s="704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98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98"/>
      <c r="O12" s="353">
        <f>6546.3+109.7+128.5+2033.7+114.6+64.6+126.8+3.2+4.5+247.1+1426.6+11.9+5.1</f>
        <v>10822.600000000002</v>
      </c>
      <c r="P12" s="702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98"/>
      <c r="O13" s="340">
        <v>195</v>
      </c>
      <c r="P13" s="703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98"/>
      <c r="O14" s="273">
        <f>732.3+221.2+2863.1+125+4.1+112.5+131.3+5.5+0.2</f>
        <v>4195.2</v>
      </c>
      <c r="P14" s="704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98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99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705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98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98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98"/>
      <c r="O22" s="706">
        <f>106+199.1+122.1+138.32+22.75+23.44+112.27+168.57+130+55+37.9+8+13+7.8+4+122.4+53.84+40+2510.2+165.44+80.98+35+154.2+13.6+12.3+597.85+1133.3+1410.6+5+5+52.45+167.91+24.24+21.73+50.2+96.6</f>
        <v>7901.09</v>
      </c>
      <c r="P22" s="707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98"/>
      <c r="O23" s="706"/>
      <c r="P23" s="707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98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98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98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98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98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98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98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98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98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708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98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708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98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708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98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98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98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98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98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98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98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98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98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98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98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98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98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98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97">
        <f>M58+M59+M60+M63+M64+M62</f>
        <v>49262</v>
      </c>
      <c r="O58" s="287">
        <f>14839.58+52.96+259.32+193.83+81.02+7.84+95.59</f>
        <v>15530.14</v>
      </c>
      <c r="P58" s="709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98"/>
      <c r="O59" s="340">
        <f>15408+17.92+680.29+87.94+149.57+0.6+389.53+22.15+1125.9</f>
        <v>17881.900000000001</v>
      </c>
      <c r="P59" s="710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98"/>
      <c r="O60" s="340">
        <f>28474.84+27.26+880.59+337.67+770.05+128.51+912.06+793.87+1837.17</f>
        <v>34162.019999999997</v>
      </c>
      <c r="P60" s="710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98"/>
      <c r="O61" s="340"/>
      <c r="P61" s="710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98"/>
      <c r="O62" s="340">
        <f>566.2+8.5+50+2.5</f>
        <v>627.20000000000005</v>
      </c>
      <c r="P62" s="710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98"/>
      <c r="O63" s="340">
        <f>81.19+45+214.35</f>
        <v>340.53999999999996</v>
      </c>
      <c r="P63" s="710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99"/>
      <c r="O64" s="273">
        <f>6597.4+6.5+5.4+188.6+54.9</f>
        <v>6852.7999999999993</v>
      </c>
      <c r="P64" s="711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712" t="s">
        <v>28</v>
      </c>
      <c r="B68" s="609" t="s">
        <v>83</v>
      </c>
      <c r="C68" s="715">
        <v>5742.7</v>
      </c>
      <c r="D68" s="715">
        <v>387.3</v>
      </c>
      <c r="E68" s="717"/>
      <c r="F68" s="719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721">
        <f>O68+O69</f>
        <v>5850.7999999999993</v>
      </c>
      <c r="Q68" s="702">
        <f>J68-P68</f>
        <v>0</v>
      </c>
    </row>
    <row r="69" spans="1:17" s="244" customFormat="1" ht="126.75" customHeight="1">
      <c r="A69" s="713"/>
      <c r="B69" s="714"/>
      <c r="C69" s="716"/>
      <c r="D69" s="716"/>
      <c r="E69" s="718"/>
      <c r="F69" s="720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722"/>
      <c r="Q69" s="723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97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724">
        <f>1.5+27.08+10+35.78+384.4+34.9+8.1+9.84+4.31+150+4+7+3+6.65+6.96+37.52+4.42+9.9+17.92+3+10.45+25+10.39</f>
        <v>812.11999999999989</v>
      </c>
      <c r="N72" s="698"/>
      <c r="O72" s="724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724"/>
      <c r="N73" s="698"/>
      <c r="O73" s="724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725" t="s">
        <v>321</v>
      </c>
      <c r="M74" s="724">
        <f>1.5+19+4.75+9.74+9.94+3.6+43.83+180.03+138+45.67+129.1+15.81+16.84+6+11.3+10.56+10.39+7.28+73.51+2.5+5+751.26+2.85+70.25+142.64+30.53</f>
        <v>1741.8799999999994</v>
      </c>
      <c r="N74" s="698"/>
      <c r="O74" s="724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725"/>
      <c r="M75" s="724"/>
      <c r="N75" s="698"/>
      <c r="O75" s="724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98"/>
      <c r="O76" s="724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98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99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726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727"/>
      <c r="O83" s="701">
        <f>26.5+31.34+50+9.37+30+524.58+0.83+234.4+7.3+91.5+93.9+77.8+4.08+4.59+200+39.99+35.96+14.71+11.97+43.54+144.38+108.2+34.1+61.8+37.03+1012.8+11.93+72.8</f>
        <v>3015.3999999999996</v>
      </c>
      <c r="P83" s="707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727"/>
      <c r="O84" s="701"/>
      <c r="P84" s="707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727"/>
      <c r="O85" s="252">
        <v>217.8</v>
      </c>
      <c r="P85" s="707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727"/>
      <c r="O86" s="252">
        <f>951.1+19.4</f>
        <v>970.5</v>
      </c>
      <c r="P86" s="707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727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727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727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724">
        <f>3.46+13+2.4+20+4.5+11+50+5.1+10.5+2.1+500+220+32.66+8.85+25+2+22+22+5.4+24.6+8.4+17.03+27.61+1299.96+4.9+23.2+8+5.21+10.6+9.25+50.6</f>
        <v>2449.3299999999995</v>
      </c>
      <c r="N90" s="727"/>
      <c r="O90" s="252">
        <f>3.5+13+2.4+20+4.5+11+50+5.1+10.5+2.1+500+220+32.66+8.85+25+2+22+22+5.4</f>
        <v>960.01</v>
      </c>
      <c r="P90" s="707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724"/>
      <c r="N91" s="727"/>
      <c r="O91" s="724">
        <f>24.6+8.4+17.03+27.61+1299.96+4.9+23.2+8+5.21+10.6+9.25+119.42+9+14+50.25+264+258.32+9+6+5+19.3+3.44+1.5+2.5+2.56+0.04</f>
        <v>2203.0900000000006</v>
      </c>
      <c r="P91" s="707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727"/>
      <c r="O92" s="724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727"/>
      <c r="O93" s="724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728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726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701">
        <f>10+15.25+20+7+113.65+24.6+7+6.1+30+3+7.2+6.1+11.19+3+6+15+3+7.72+15+5.6+96+33.16+109+4.23+10</f>
        <v>568.80000000000007</v>
      </c>
      <c r="N98" s="727"/>
      <c r="O98" s="252">
        <f>10+15.25+20+7+113.65+24.6+4.26+10+14.98+38.75+30+93.97+35+102.66+10.02</f>
        <v>530.14</v>
      </c>
      <c r="P98" s="707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701"/>
      <c r="N99" s="727"/>
      <c r="O99" s="252">
        <f>7+6.1+30+3+7.2+6.1+11.2+3+6+15+3+7.72+15+5.6+96+22.72+109</f>
        <v>353.64</v>
      </c>
      <c r="P99" s="707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701"/>
      <c r="N100" s="727"/>
      <c r="O100" s="252">
        <f>40+10.6+26.04+4.6+13.11+76.6+14.97</f>
        <v>185.92</v>
      </c>
      <c r="P100" s="707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728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726">
        <f>M102+M103</f>
        <v>22512.099999999995</v>
      </c>
      <c r="O102" s="353">
        <f>5157.87+1604.54+9.38+21.84+9.6+410.07+8+1+3.5</f>
        <v>7225.8</v>
      </c>
      <c r="P102" s="702">
        <f>O102+O103</f>
        <v>30588.499999999996</v>
      </c>
      <c r="Q102" s="707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728"/>
      <c r="O103" s="273">
        <f>17006.24+5317.12+77.8+133.57+383.72+8.42+297.1+5.76+5.5+44.43+83.04</f>
        <v>23362.699999999997</v>
      </c>
      <c r="P103" s="704"/>
      <c r="Q103" s="707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733">
        <f>M104+M105</f>
        <v>1616.3999999999999</v>
      </c>
      <c r="O104" s="353">
        <f>1272.52+364.08+20.32+2.4+18.63+6.2+35.5+244.75+139</f>
        <v>2103.4</v>
      </c>
      <c r="P104" s="702">
        <f>O104+O105</f>
        <v>2641.4</v>
      </c>
      <c r="Q104" s="707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734"/>
      <c r="O105" s="333">
        <f>14+2.4+55+38.74+28.8+11.2+50+31.8+37+21+1+89.44+9.8+58.5+25.64+29.67+19+6.6+8.4+0.01</f>
        <v>538</v>
      </c>
      <c r="P105" s="704"/>
      <c r="Q105" s="735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726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727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727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727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727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727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727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727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727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727"/>
      <c r="O115" s="252">
        <f>12+4.56+14.5+30+25.35+9.45+21.76+12.97+8.16+10.29+4.14+8.5+4.05+12.15+6.4</f>
        <v>184.28</v>
      </c>
      <c r="P115" s="708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727"/>
      <c r="O116" s="252"/>
      <c r="P116" s="708"/>
      <c r="Q116" s="343"/>
    </row>
    <row r="117" spans="1:17" s="244" customFormat="1" ht="361.5" customHeight="1">
      <c r="A117" s="221"/>
      <c r="B117" s="600"/>
      <c r="C117" s="729"/>
      <c r="D117" s="729"/>
      <c r="E117" s="731"/>
      <c r="F117" s="729"/>
      <c r="G117" s="729"/>
      <c r="H117" s="729"/>
      <c r="I117" s="729"/>
      <c r="J117" s="729"/>
      <c r="K117" s="736"/>
      <c r="L117" s="12" t="s">
        <v>256</v>
      </c>
      <c r="M117" s="340">
        <f>7.68+5.67+10.2+8.1+4.8+2.56+4+6.35+7.06+3.7+1.5+1.24+5.9+28.89+2.53+4+20.5+26.64</f>
        <v>151.32</v>
      </c>
      <c r="N117" s="727"/>
      <c r="O117" s="252">
        <f>5.67+10.2+8.1+4.8+2.56+4+6.35+7.06+3.7+1.5+1.24+5.9+42.03+2.53+4+20.47+580+7.68</f>
        <v>717.79</v>
      </c>
      <c r="P117" s="708"/>
      <c r="Q117" s="343"/>
    </row>
    <row r="118" spans="1:17" s="244" customFormat="1" ht="221.25" customHeight="1">
      <c r="A118" s="221"/>
      <c r="B118" s="600"/>
      <c r="C118" s="729"/>
      <c r="D118" s="729"/>
      <c r="E118" s="731"/>
      <c r="F118" s="729"/>
      <c r="G118" s="729"/>
      <c r="H118" s="729"/>
      <c r="I118" s="729"/>
      <c r="J118" s="729"/>
      <c r="K118" s="736"/>
      <c r="L118" s="12" t="s">
        <v>257</v>
      </c>
      <c r="M118" s="340"/>
      <c r="N118" s="727"/>
      <c r="O118" s="252">
        <f>6+12.84+20.31+49.84+2.46+3.2+3.6+4.9+7.28+6.02+5.7</f>
        <v>122.15</v>
      </c>
      <c r="P118" s="708"/>
      <c r="Q118" s="343"/>
    </row>
    <row r="119" spans="1:17" s="244" customFormat="1" ht="112.5" customHeight="1">
      <c r="A119" s="222"/>
      <c r="B119" s="601"/>
      <c r="C119" s="730"/>
      <c r="D119" s="730"/>
      <c r="E119" s="732"/>
      <c r="F119" s="730"/>
      <c r="G119" s="730"/>
      <c r="H119" s="730"/>
      <c r="I119" s="730"/>
      <c r="J119" s="730"/>
      <c r="K119" s="737"/>
      <c r="L119" s="148" t="s">
        <v>311</v>
      </c>
      <c r="M119" s="273">
        <f>41803.2+1061.3+771.3</f>
        <v>43635.8</v>
      </c>
      <c r="N119" s="728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97">
        <f>M121+M122</f>
        <v>9880.9</v>
      </c>
      <c r="O121" s="353">
        <f>8011.2+72.5+49+100+649</f>
        <v>8881.7000000000007</v>
      </c>
      <c r="P121" s="721">
        <f>O121+O122</f>
        <v>13505.400000000001</v>
      </c>
      <c r="Q121" s="702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99"/>
      <c r="O122" s="273">
        <v>4623.7</v>
      </c>
      <c r="P122" s="722"/>
      <c r="Q122" s="704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97">
        <f>M123+M124+M125</f>
        <v>85771.5</v>
      </c>
      <c r="O123" s="353">
        <f>11180+36585.3</f>
        <v>47765.3</v>
      </c>
      <c r="P123" s="721">
        <f>O123+O124+O125</f>
        <v>106370.3</v>
      </c>
      <c r="Q123" s="702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98"/>
      <c r="O124" s="340">
        <f>8193.7+205.3+50.2+61.1+103.7+1625.1+171.5+66.4</f>
        <v>10477.000000000002</v>
      </c>
      <c r="P124" s="707"/>
      <c r="Q124" s="742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99"/>
      <c r="O125" s="273">
        <f>29396.3+18731.7</f>
        <v>48128</v>
      </c>
      <c r="P125" s="722"/>
      <c r="Q125" s="723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721">
        <f>O126+O127+O128+O129+O130</f>
        <v>6337.7</v>
      </c>
      <c r="Q126" s="702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707"/>
      <c r="Q127" s="742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707"/>
      <c r="Q128" s="742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707"/>
      <c r="Q129" s="742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722"/>
      <c r="Q130" s="723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743">
        <f>M131+M132+M133+M136</f>
        <v>16259.9</v>
      </c>
      <c r="O131" s="353">
        <f>12780.61+3958.34+234.22+467.32+648.72+951.4+279.52+343.37+22.61+460.92+186.03+40.82+1852.62+560.45</f>
        <v>22786.95</v>
      </c>
      <c r="P131" s="721">
        <f>O131+O132+O133+O134+O135+O136</f>
        <v>27218</v>
      </c>
      <c r="Q131" s="702">
        <f>J131-P131</f>
        <v>9.9999999998544808E-2</v>
      </c>
      <c r="R131" s="748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744"/>
      <c r="O132" s="340">
        <v>141.5</v>
      </c>
      <c r="P132" s="707"/>
      <c r="Q132" s="742"/>
      <c r="R132" s="749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744"/>
      <c r="O133" s="340">
        <f>545+50</f>
        <v>595</v>
      </c>
      <c r="P133" s="707"/>
      <c r="Q133" s="742"/>
      <c r="R133" s="749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744"/>
      <c r="O134" s="340">
        <v>1761.89</v>
      </c>
      <c r="P134" s="707"/>
      <c r="Q134" s="742"/>
      <c r="R134" s="749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744"/>
      <c r="O135" s="340">
        <f>700+14.76+300+150+150+330</f>
        <v>1644.76</v>
      </c>
      <c r="P135" s="707"/>
      <c r="Q135" s="742"/>
      <c r="R135" s="749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745"/>
      <c r="O136" s="273">
        <f>264.1+23.8</f>
        <v>287.90000000000003</v>
      </c>
      <c r="P136" s="722"/>
      <c r="Q136" s="723"/>
      <c r="R136" s="749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702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703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704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97">
        <f>M148+M149+M150+M151+M152+M153+M160</f>
        <v>27789.9</v>
      </c>
      <c r="O148" s="353">
        <f>48.83+276.74+58.04+65.92+50.83+116.02</f>
        <v>616.38</v>
      </c>
      <c r="P148" s="739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98"/>
      <c r="O149" s="340">
        <v>23.4</v>
      </c>
      <c r="P149" s="740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98"/>
      <c r="O150" s="340">
        <f>2000+1796.26+1253.8+0.48+2735.78+1042.85</f>
        <v>8829.17</v>
      </c>
      <c r="P150" s="740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98"/>
      <c r="O151" s="340">
        <f>606.2+195.36+439.69+842.82</f>
        <v>2084.0700000000002</v>
      </c>
      <c r="P151" s="740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98"/>
      <c r="O152" s="340">
        <f>4843.8+7957.8+2775.1+293.8+2100.7+1110.1</f>
        <v>19081.3</v>
      </c>
      <c r="P152" s="740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98"/>
      <c r="O153" s="340">
        <f>99+162.4+56.6+6+42.9+22.6</f>
        <v>389.5</v>
      </c>
      <c r="P153" s="740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98"/>
      <c r="O154" s="273">
        <f>7500+599+517.27+459.09+178.62</f>
        <v>9253.9800000000014</v>
      </c>
      <c r="P154" s="741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98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98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98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98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98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99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726">
        <f>M161+M162+M163+M164+M165+M166+M168+M167</f>
        <v>118895.3</v>
      </c>
      <c r="O161" s="353">
        <f>13433.31+4025.84+30.99+1+158.38+4.1+47.7+79.6+863.32+445.06+90.4+7.2+1.6</f>
        <v>19188.500000000004</v>
      </c>
      <c r="P161" s="709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727"/>
      <c r="O162" s="340">
        <v>122359</v>
      </c>
      <c r="P162" s="710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727"/>
      <c r="O163" s="340">
        <f>7210.49+47.44+181.17+2245.87+84.4+73.36+165.58+62.59+130.35+55.28+5.29+0.88</f>
        <v>10262.700000000001</v>
      </c>
      <c r="P163" s="710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727"/>
      <c r="O164" s="701">
        <f>720.5+771+15</f>
        <v>1506.5</v>
      </c>
      <c r="P164" s="710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701"/>
      <c r="P165" s="710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701"/>
      <c r="P166" s="710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710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711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751" t="s">
        <v>49</v>
      </c>
      <c r="B170" s="609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715">
        <v>3105.1</v>
      </c>
      <c r="H170" s="715">
        <v>648.6</v>
      </c>
      <c r="I170" s="753"/>
      <c r="J170" s="715">
        <f>I170+H170+G170</f>
        <v>3753.7</v>
      </c>
      <c r="K170" s="754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726">
        <f>M170+M171</f>
        <v>2234.1999999999998</v>
      </c>
      <c r="O170" s="353">
        <f>1646.51+367.26+184.4+205.2+610.8+0.4+10.17+2.16+1.5+5.4+71.3</f>
        <v>3105.1000000000004</v>
      </c>
      <c r="P170" s="702">
        <f>O170+O171</f>
        <v>3753.7000000000003</v>
      </c>
      <c r="Q170" s="738">
        <f>J170-P170</f>
        <v>0</v>
      </c>
    </row>
    <row r="171" spans="1:18" s="244" customFormat="1" ht="42" customHeight="1">
      <c r="A171" s="752"/>
      <c r="B171" s="714"/>
      <c r="C171" s="366"/>
      <c r="D171" s="366"/>
      <c r="E171" s="366"/>
      <c r="F171" s="366"/>
      <c r="G171" s="716"/>
      <c r="H171" s="716"/>
      <c r="I171" s="730"/>
      <c r="J171" s="716"/>
      <c r="K171" s="737"/>
      <c r="L171" s="378" t="s">
        <v>344</v>
      </c>
      <c r="M171" s="273">
        <v>471.9</v>
      </c>
      <c r="N171" s="728"/>
      <c r="O171" s="273">
        <v>648.6</v>
      </c>
      <c r="P171" s="704"/>
      <c r="Q171" s="738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702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703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703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704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746" t="s">
        <v>54</v>
      </c>
      <c r="B181" s="747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750" t="s">
        <v>110</v>
      </c>
      <c r="B197" s="750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G117:G119"/>
    <mergeCell ref="H117:H119"/>
    <mergeCell ref="I117:I119"/>
    <mergeCell ref="J117:J119"/>
    <mergeCell ref="K117:K119"/>
    <mergeCell ref="N104:N105"/>
    <mergeCell ref="P104:P105"/>
    <mergeCell ref="Q104:Q105"/>
    <mergeCell ref="N106:N119"/>
    <mergeCell ref="P115:P118"/>
    <mergeCell ref="B117:B119"/>
    <mergeCell ref="C117:C119"/>
    <mergeCell ref="D117:D119"/>
    <mergeCell ref="E117:E119"/>
    <mergeCell ref="F117:F119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Q68:Q69"/>
    <mergeCell ref="N71:N78"/>
    <mergeCell ref="M72:M73"/>
    <mergeCell ref="O72:O73"/>
    <mergeCell ref="L74:L75"/>
    <mergeCell ref="M74:M75"/>
    <mergeCell ref="O74:O76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N7:N16"/>
    <mergeCell ref="O7:O8"/>
    <mergeCell ref="P7:P10"/>
    <mergeCell ref="P12:P14"/>
    <mergeCell ref="N19:N48"/>
    <mergeCell ref="O22:O23"/>
    <mergeCell ref="P22:P23"/>
    <mergeCell ref="P32:P34"/>
    <mergeCell ref="A1:L1"/>
    <mergeCell ref="A2:L2"/>
    <mergeCell ref="A4:A5"/>
    <mergeCell ref="B4:B5"/>
    <mergeCell ref="C4:F4"/>
    <mergeCell ref="G4:J4"/>
    <mergeCell ref="K4:K5"/>
    <mergeCell ref="L4:L5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Отчет</vt:lpstr>
      <vt:lpstr>Отчет за 12 месяцев( верный )</vt:lpstr>
      <vt:lpstr>Лист1</vt:lpstr>
      <vt:lpstr>Лист2</vt:lpstr>
      <vt:lpstr>Отчет за 12 месяцев (2)</vt:lpstr>
      <vt:lpstr>Отчет!Заголовки_для_печати</vt:lpstr>
      <vt:lpstr>'Отчет за 12 месяцев (2)'!Заголовки_для_печати</vt:lpstr>
      <vt:lpstr>'Отчет за 12 месяцев( верный )'!Заголовки_для_печати</vt:lpstr>
      <vt:lpstr>Отчет!Область_печати</vt:lpstr>
      <vt:lpstr>'Отчет за 12 месяцев (2)'!Область_печати</vt:lpstr>
      <vt:lpstr>'Отчет за 12 месяцев( верный 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2024-02-16T01:23:36Z</dcterms:modified>
</cp:coreProperties>
</file>