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2 мес 2025" sheetId="37" r:id="rId5"/>
  </sheets>
  <definedNames>
    <definedName name="_xlnm._FilterDatabase" localSheetId="4" hidden="1">'Отчет за 12 мес 2025'!$C$1:$C$160</definedName>
    <definedName name="_xlnm.Print_Titles" localSheetId="0">Отчет!$4:$6</definedName>
    <definedName name="_xlnm.Print_Titles" localSheetId="4">'Отчет за 12 мес 2025'!$4:$6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12 мес 2025'!$A$1:$M$149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O90" i="37"/>
  <c r="O74"/>
  <c r="O68"/>
  <c r="O33"/>
  <c r="O35"/>
  <c r="O32"/>
  <c r="O30" l="1"/>
  <c r="O21"/>
  <c r="K137"/>
  <c r="J137"/>
  <c r="F137"/>
  <c r="O136"/>
  <c r="M136"/>
  <c r="N130" s="1"/>
  <c r="J136"/>
  <c r="J130" s="1"/>
  <c r="F136"/>
  <c r="O135"/>
  <c r="O134"/>
  <c r="O133"/>
  <c r="O132"/>
  <c r="P131" s="1"/>
  <c r="O131"/>
  <c r="M131"/>
  <c r="J131"/>
  <c r="F131"/>
  <c r="F130" s="1"/>
  <c r="I130"/>
  <c r="H130"/>
  <c r="G130"/>
  <c r="E130"/>
  <c r="D130"/>
  <c r="C130"/>
  <c r="P128"/>
  <c r="O128"/>
  <c r="N128"/>
  <c r="M128"/>
  <c r="J128"/>
  <c r="K128" s="1"/>
  <c r="F128"/>
  <c r="K127"/>
  <c r="J127"/>
  <c r="F127"/>
  <c r="O121"/>
  <c r="M121"/>
  <c r="O119"/>
  <c r="P119" s="1"/>
  <c r="N119"/>
  <c r="M119"/>
  <c r="J119"/>
  <c r="K119" s="1"/>
  <c r="F119"/>
  <c r="J118"/>
  <c r="K118" s="1"/>
  <c r="F118"/>
  <c r="O117"/>
  <c r="P115" s="1"/>
  <c r="Q115" s="1"/>
  <c r="O116"/>
  <c r="O115"/>
  <c r="M115"/>
  <c r="N115" s="1"/>
  <c r="K115"/>
  <c r="J115"/>
  <c r="J114" s="1"/>
  <c r="F115"/>
  <c r="I114"/>
  <c r="I138" s="1"/>
  <c r="H114"/>
  <c r="G114"/>
  <c r="G138" s="1"/>
  <c r="F114"/>
  <c r="E114"/>
  <c r="E138" s="1"/>
  <c r="D114"/>
  <c r="D138" s="1"/>
  <c r="C114"/>
  <c r="O113"/>
  <c r="M113"/>
  <c r="N113" s="1"/>
  <c r="J113"/>
  <c r="P113" s="1"/>
  <c r="F113"/>
  <c r="K112"/>
  <c r="J112"/>
  <c r="F112"/>
  <c r="J111"/>
  <c r="J108" s="1"/>
  <c r="F111"/>
  <c r="J110"/>
  <c r="F110"/>
  <c r="K110" s="1"/>
  <c r="P109"/>
  <c r="O109"/>
  <c r="N109"/>
  <c r="J109"/>
  <c r="F109"/>
  <c r="K109" s="1"/>
  <c r="I108"/>
  <c r="H108"/>
  <c r="G108"/>
  <c r="E108"/>
  <c r="D108"/>
  <c r="C108"/>
  <c r="O107"/>
  <c r="M107"/>
  <c r="J107"/>
  <c r="K107" s="1"/>
  <c r="F107"/>
  <c r="O106"/>
  <c r="M106"/>
  <c r="O105"/>
  <c r="M103"/>
  <c r="O101"/>
  <c r="P101" s="1"/>
  <c r="N101"/>
  <c r="M101"/>
  <c r="K101"/>
  <c r="J101"/>
  <c r="F101"/>
  <c r="O100"/>
  <c r="P96"/>
  <c r="O96"/>
  <c r="N96"/>
  <c r="M96"/>
  <c r="K96"/>
  <c r="J96"/>
  <c r="Q96" s="1"/>
  <c r="F96"/>
  <c r="O95"/>
  <c r="P92" s="1"/>
  <c r="M95"/>
  <c r="O94"/>
  <c r="O93"/>
  <c r="M92"/>
  <c r="N92" s="1"/>
  <c r="J92"/>
  <c r="F92"/>
  <c r="P90"/>
  <c r="N90"/>
  <c r="M90"/>
  <c r="J90"/>
  <c r="K90" s="1"/>
  <c r="F90"/>
  <c r="I89"/>
  <c r="H89"/>
  <c r="G89"/>
  <c r="F89"/>
  <c r="E89"/>
  <c r="D89"/>
  <c r="C89"/>
  <c r="O88"/>
  <c r="O87"/>
  <c r="O86"/>
  <c r="Q86" s="1"/>
  <c r="M86"/>
  <c r="O85"/>
  <c r="O84"/>
  <c r="O83"/>
  <c r="P82" s="1"/>
  <c r="R82" s="1"/>
  <c r="M83"/>
  <c r="N82" s="1"/>
  <c r="O82"/>
  <c r="M82"/>
  <c r="J82"/>
  <c r="F82"/>
  <c r="K82" s="1"/>
  <c r="O81"/>
  <c r="M81"/>
  <c r="N80" s="1"/>
  <c r="Q80"/>
  <c r="P80"/>
  <c r="O80"/>
  <c r="M80"/>
  <c r="J80"/>
  <c r="F80"/>
  <c r="K80" s="1"/>
  <c r="O79"/>
  <c r="M79"/>
  <c r="N78" s="1"/>
  <c r="O78"/>
  <c r="P78" s="1"/>
  <c r="Q78" s="1"/>
  <c r="M78"/>
  <c r="J78"/>
  <c r="F78"/>
  <c r="K78" s="1"/>
  <c r="O77"/>
  <c r="M77"/>
  <c r="O76"/>
  <c r="M76"/>
  <c r="N74" s="1"/>
  <c r="P74"/>
  <c r="Q74" s="1"/>
  <c r="R74" s="1"/>
  <c r="J74"/>
  <c r="F74"/>
  <c r="K74" s="1"/>
  <c r="O73"/>
  <c r="O72"/>
  <c r="O71"/>
  <c r="O70"/>
  <c r="O69"/>
  <c r="M68"/>
  <c r="N60" s="1"/>
  <c r="O67"/>
  <c r="M67"/>
  <c r="O65"/>
  <c r="M65"/>
  <c r="O64"/>
  <c r="O63"/>
  <c r="O61"/>
  <c r="P60" s="1"/>
  <c r="M61"/>
  <c r="O60"/>
  <c r="M60"/>
  <c r="J60"/>
  <c r="K60" s="1"/>
  <c r="F60"/>
  <c r="F54" s="1"/>
  <c r="O57"/>
  <c r="O56"/>
  <c r="M56"/>
  <c r="P55"/>
  <c r="Q55" s="1"/>
  <c r="O55"/>
  <c r="M55"/>
  <c r="N55" s="1"/>
  <c r="K55"/>
  <c r="J55"/>
  <c r="F55"/>
  <c r="J54"/>
  <c r="I54"/>
  <c r="H54"/>
  <c r="G54"/>
  <c r="E54"/>
  <c r="D54"/>
  <c r="C54"/>
  <c r="Q53"/>
  <c r="O53"/>
  <c r="M53"/>
  <c r="J53"/>
  <c r="K53" s="1"/>
  <c r="F53"/>
  <c r="O52"/>
  <c r="M52"/>
  <c r="K52"/>
  <c r="J52"/>
  <c r="F52"/>
  <c r="O51"/>
  <c r="O50"/>
  <c r="P48" s="1"/>
  <c r="M50"/>
  <c r="O49"/>
  <c r="O48"/>
  <c r="N48"/>
  <c r="M48"/>
  <c r="K48"/>
  <c r="J48"/>
  <c r="Q48" s="1"/>
  <c r="F48"/>
  <c r="O46"/>
  <c r="O43"/>
  <c r="O42"/>
  <c r="O40"/>
  <c r="O39"/>
  <c r="M39"/>
  <c r="O38"/>
  <c r="M38"/>
  <c r="O37"/>
  <c r="M37"/>
  <c r="M35"/>
  <c r="M33"/>
  <c r="M30"/>
  <c r="O29"/>
  <c r="O28"/>
  <c r="O27"/>
  <c r="P25" s="1"/>
  <c r="O26"/>
  <c r="Q25"/>
  <c r="O25"/>
  <c r="M25"/>
  <c r="N18" s="1"/>
  <c r="O24"/>
  <c r="O23"/>
  <c r="M23"/>
  <c r="O22"/>
  <c r="M21"/>
  <c r="O20"/>
  <c r="M20"/>
  <c r="O19"/>
  <c r="O18"/>
  <c r="P18" s="1"/>
  <c r="M18"/>
  <c r="J18"/>
  <c r="J17" s="1"/>
  <c r="F18"/>
  <c r="I17"/>
  <c r="H17"/>
  <c r="G17"/>
  <c r="E17"/>
  <c r="D17"/>
  <c r="C17"/>
  <c r="P16"/>
  <c r="O16"/>
  <c r="J16"/>
  <c r="F16"/>
  <c r="K16" s="1"/>
  <c r="O14"/>
  <c r="M14"/>
  <c r="O12"/>
  <c r="M12"/>
  <c r="O8"/>
  <c r="P7" s="1"/>
  <c r="M8"/>
  <c r="N7" s="1"/>
  <c r="M7"/>
  <c r="J7"/>
  <c r="F7"/>
  <c r="K7" s="1"/>
  <c r="Q18" l="1"/>
  <c r="K18"/>
  <c r="Q60"/>
  <c r="H138"/>
  <c r="K54"/>
  <c r="C138"/>
  <c r="Q101"/>
  <c r="J138"/>
  <c r="K114"/>
  <c r="Q92"/>
  <c r="Q109"/>
  <c r="Q131"/>
  <c r="K130"/>
  <c r="Q82"/>
  <c r="K131"/>
  <c r="F108"/>
  <c r="K108" s="1"/>
  <c r="K113"/>
  <c r="Q128"/>
  <c r="K136"/>
  <c r="Q119"/>
  <c r="J89"/>
  <c r="K89" s="1"/>
  <c r="K92"/>
  <c r="F17"/>
  <c r="K17" s="1"/>
  <c r="Q90"/>
  <c r="K111"/>
  <c r="P118"/>
  <c r="F138" l="1"/>
  <c r="K138" l="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<sst xmlns="http://schemas.openxmlformats.org/spreadsheetml/2006/main" count="678" uniqueCount="482">
  <si>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</si>
  <si>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</si>
  <si>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</si>
  <si>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</si>
  <si>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</si>
  <si>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</si>
  <si>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</si>
  <si>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</si>
  <si>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</si>
  <si>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</si>
  <si>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</si>
  <si>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</si>
  <si>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</si>
  <si>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</si>
  <si>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</si>
  <si>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</si>
  <si>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</si>
  <si>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</si>
  <si>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</si>
  <si>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</si>
  <si>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</si>
  <si>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</si>
  <si>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</si>
  <si>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</si>
  <si>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</si>
  <si>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</si>
  <si>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</si>
  <si>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</si>
  <si>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</si>
  <si>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</si>
  <si>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</si>
  <si>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</si>
  <si>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</si>
  <si>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</si>
  <si>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</si>
  <si>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</si>
  <si>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</si>
  <si>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</si>
  <si>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</si>
  <si>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</si>
  <si>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</si>
  <si>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</si>
  <si>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</si>
  <si>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</si>
  <si>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</si>
  <si>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</si>
  <si>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</si>
  <si>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</si>
  <si>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</si>
  <si>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</si>
  <si>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</si>
  <si>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</si>
  <si>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</si>
  <si>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</si>
  <si>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</si>
  <si>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</si>
  <si>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</si>
  <si>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</si>
  <si>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</si>
  <si>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</si>
  <si>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</si>
  <si>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</si>
  <si>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</si>
  <si>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</si>
  <si>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</si>
  <si>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</si>
  <si>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</si>
  <si>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</si>
  <si>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</si>
  <si>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</si>
  <si>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</si>
  <si>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</si>
  <si>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</si>
  <si>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</si>
  <si>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</si>
  <si>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</si>
  <si>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</si>
  <si>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</si>
  <si>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</si>
  <si>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</si>
  <si>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</si>
  <si>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</si>
  <si>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</si>
  <si>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</si>
  <si>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</si>
  <si>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</si>
  <si>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</si>
  <si>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</si>
  <si>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</si>
  <si>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</si>
  <si>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</si>
  <si>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</si>
  <si>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</si>
  <si>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</si>
  <si>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</si>
  <si>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</si>
  <si>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</si>
  <si>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</si>
  <si>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</si>
  <si>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</si>
  <si>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</si>
  <si>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</si>
  <si>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</si>
  <si>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</si>
  <si>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</si>
  <si>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</si>
  <si>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</si>
  <si>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</si>
  <si>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</si>
  <si>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</si>
  <si>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</si>
  <si>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</si>
  <si>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</si>
  <si>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</si>
  <si>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</si>
  <si>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</si>
  <si>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</si>
  <si>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</si>
  <si>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</si>
  <si>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</si>
  <si>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</si>
  <si>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</si>
  <si>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</si>
  <si>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</si>
  <si>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</si>
  <si>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</si>
  <si>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</si>
  <si>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</si>
  <si>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</si>
  <si>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</si>
  <si>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</si>
  <si>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</si>
  <si>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</si>
  <si>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</si>
  <si>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</si>
  <si>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</si>
  <si>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</si>
  <si>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</si>
  <si>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</si>
  <si>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</si>
  <si>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</si>
  <si>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</si>
  <si>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</si>
  <si>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</si>
  <si>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</si>
  <si>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</si>
  <si>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</si>
  <si>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</si>
  <si>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</si>
  <si>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</si>
  <si>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</si>
  <si>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</si>
  <si>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</si>
  <si>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</si>
  <si>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</si>
  <si>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</si>
  <si>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</si>
  <si>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</si>
  <si>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</si>
  <si>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</si>
  <si>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</si>
  <si>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</si>
  <si>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</si>
  <si>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</si>
  <si>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</si>
  <si>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</si>
  <si>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</si>
  <si>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</si>
  <si>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</si>
  <si>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</si>
  <si>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</si>
  <si>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</si>
  <si>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</si>
  <si>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</si>
  <si>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</si>
  <si>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</si>
  <si>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</si>
  <si>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</si>
  <si>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</si>
  <si>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</si>
  <si>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</si>
  <si>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</si>
  <si>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</si>
  <si>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</si>
  <si>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</si>
  <si>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</si>
  <si>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</si>
  <si>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</si>
  <si>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</si>
  <si>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</si>
  <si>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</si>
  <si>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</si>
  <si>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</si>
  <si>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</si>
  <si>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</si>
  <si>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</si>
  <si>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</si>
  <si>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</si>
  <si>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</si>
  <si>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</si>
  <si>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</si>
  <si>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</si>
  <si>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</si>
  <si>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</si>
  <si>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</si>
  <si>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</si>
  <si>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</si>
  <si>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</si>
  <si>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</si>
  <si>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</si>
  <si>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</si>
  <si>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</si>
  <si>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</si>
  <si>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</si>
  <si>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</si>
  <si>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</si>
  <si>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</si>
  <si>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</si>
  <si>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</si>
  <si>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</si>
  <si>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</si>
  <si>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</si>
  <si>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</si>
  <si>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</si>
  <si>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</si>
  <si>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</si>
  <si>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</si>
  <si>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</si>
  <si>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</si>
  <si>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</si>
  <si>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</si>
  <si>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</si>
  <si>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</si>
  <si>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</si>
  <si>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</si>
  <si>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</si>
  <si>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</si>
  <si>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</si>
  <si>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</si>
  <si>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</si>
  <si>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</si>
  <si>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</si>
  <si>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</si>
  <si>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</si>
  <si>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</si>
  <si>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</si>
  <si>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</si>
  <si>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</si>
  <si>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</si>
  <si>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</si>
  <si>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</si>
  <si>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</si>
  <si>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</si>
  <si>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</si>
  <si>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</si>
  <si>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</si>
  <si>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</si>
  <si>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</si>
  <si>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</si>
  <si>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</si>
  <si>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</si>
  <si>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</si>
  <si>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</si>
  <si>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</si>
  <si>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</si>
  <si>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</si>
  <si>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</si>
  <si>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</si>
  <si>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</si>
  <si>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</si>
  <si>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</si>
  <si>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</si>
  <si>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</si>
  <si>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</si>
  <si>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</si>
  <si>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</si>
  <si>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</si>
  <si>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</si>
  <si>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</si>
  <si>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</si>
  <si>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</si>
  <si>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</si>
  <si>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</si>
  <si>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</si>
  <si>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</si>
  <si>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</si>
  <si>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</si>
  <si>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</si>
  <si>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</si>
  <si>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</si>
  <si>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</si>
  <si>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</si>
  <si>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</si>
  <si>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</si>
  <si>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</si>
  <si>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</si>
  <si>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</si>
  <si>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</si>
  <si>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</si>
  <si>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</si>
  <si>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</si>
  <si>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</si>
  <si>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</si>
  <si>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</si>
  <si>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</si>
  <si>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</si>
  <si>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</si>
  <si>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</si>
  <si>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</si>
  <si>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</si>
  <si>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</si>
  <si>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</si>
  <si>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</si>
  <si>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</si>
  <si>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</si>
  <si>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</si>
  <si>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</si>
  <si>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</si>
  <si>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</si>
  <si>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</si>
  <si>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</si>
  <si>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</si>
  <si>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</si>
  <si>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</si>
  <si>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</si>
  <si>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</si>
  <si>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</si>
  <si>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</si>
  <si>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</si>
  <si>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</si>
  <si>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</si>
  <si>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</si>
  <si>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</si>
  <si>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</si>
  <si>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</si>
  <si>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</si>
  <si>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</si>
  <si>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</si>
  <si>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</si>
  <si>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</si>
  <si>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</si>
  <si>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</si>
  <si>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</si>
  <si>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</si>
  <si>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</si>
  <si>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</si>
  <si>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</si>
  <si>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</si>
  <si>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</si>
  <si>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</si>
  <si>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</si>
  <si>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</si>
  <si>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</si>
  <si>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</si>
  <si>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</si>
  <si>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</si>
  <si>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</si>
  <si>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</si>
  <si>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</si>
  <si>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(МБ), (РХ), 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Строительство индивидуального жилого дома в с.Усть-Бюрь, ул.Заречная 26</t>
    </r>
  </si>
  <si>
    <r>
      <t xml:space="preserve">Реализация проектов комплексного развития сельских территорий  - 150,0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 xml:space="preserve">1.Формирование современного облика сельских территорий, направленных на создание и развитие инфраструктуры в сельской местности - 150,0 (МБ);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^Выполнение изыскат.работ по микросейсмоустойчивости на строительство водопровода в с.Московское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</si>
  <si>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 «Региональный проект Республики Хакасия «Педагоги и наставники»</t>
  </si>
  <si>
    <r>
      <t xml:space="preserve">2.Капитальный ремонт, в муниципальных учреждениях,  т.ч. разработка ПСД- 68,7 (МБ):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объекту "Капитальный ремонт жилого корпуса"</t>
    </r>
  </si>
  <si>
    <r>
      <t xml:space="preserve">3.Мероприятия по организации отдыха, оздоровления и занятости несовершеннолетних -98,0 (МБ)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</t>
    </r>
  </si>
  <si>
    <r>
      <t xml:space="preserve">4.Мероприятия по организации отдыха, оздоровления и занятости несовершеннолетних за счет безвозмездной помощи -1226,4 (МБ)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50 несовершеннолетних на средства Фонда Андрея Мельниченко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</si>
  <si>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-17 345,3 (РХ):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Погашение кредиторской задолженности на 01.01.2025 субсидии на ремонт автомобильной дороги , расположенной по адресу: Республика Хакасия, Усть-Абаканский район, с. Усть-Бюр, ул. Школьная (2 044,3), аал Доможаков, ул. Механизаторская (1 602,9), с. Вершино-Биджа, ул. М.Цукановой (3 738,8), с.Вершино-Биджа, ул. Полевая (1 675,9), с.Вершино-Биджа, ул. Школьная (5 237,3), аал Чарков, ул. Степная (3 046,1).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</si>
  <si>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- 439,5 (МБ):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^Строительный контроль за строительством системы водоснабжения в с. Зеленое 3 этап - 36,5;                                                                                                                                                                     ^Строительство системы водоснабжение с. Зеленое 3 этап - 343,0;                                                                                                                       ^Технический план при строительстве системы водоснабжения с.Зеленое - 60,0.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</si>
  <si>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- 2,7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</si>
  <si>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- 56,12 (МБ),</t>
    </r>
    <r>
      <rPr>
        <sz val="15"/>
        <rFont val="Times New Roman"/>
        <family val="1"/>
        <charset val="204"/>
      </rPr>
      <t xml:space="preserve"> из них:                                                              1. Изготовление фотографий на бумажном носителе - 10,0; 2. Приобретение металлических архивных шкафов-стеллажей - 46,12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</si>
  <si>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бюджетом)- 855,6,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1,4 (РХ), 133,2(ФБ)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(Лобейкина Евгения Александровна) кредиторка 2024г.</t>
    </r>
  </si>
  <si>
    <r>
      <t xml:space="preserve">2.Оценка недвижимости, признание прав и регулирование отношений по государственной и муниципальной собственности - 10,0 (МБ).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Рыночная оценка муниципального имущества-10,0</t>
    </r>
  </si>
  <si>
    <r>
      <t xml:space="preserve">5.Проведение ремонта загородных детских лагерей, оздоровительных лагерей- 4240,5, из них   3350,0 (РХ),                                890,50 (МБ)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двух жилых корпусов.</t>
    </r>
  </si>
  <si>
    <r>
      <rPr>
        <b/>
        <i/>
        <sz val="15"/>
        <rFont val="Times New Roman"/>
        <family val="1"/>
        <charset val="204"/>
      </rPr>
      <t>4.Обеспечение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(в том числе софинансирование с федеральным бюджетом)- 12332,2 из них: 123,3 (РХ),  12208,9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Приобретение жилых помещений детям-сиротам и детям, оставшимся без попечения родителей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</t>
    </r>
  </si>
  <si>
    <r>
      <t xml:space="preserve">5.Государственная поддержка отрасли культуры (денежное поощрение лучших работников сельских учреждений культуры) (в том числе софинансирование с республиканским бюджетом)- 51,01, из них 0,51 (МБ),0,5 (РХ), 50,0 (ФБ).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работников сельских учреждений культуры - 51,01.</t>
    </r>
  </si>
  <si>
    <r>
      <rPr>
        <b/>
        <i/>
        <sz val="15"/>
        <rFont val="Times New Roman"/>
        <family val="1"/>
        <charset val="204"/>
      </rPr>
      <t>6.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- 102,02.</t>
    </r>
  </si>
  <si>
    <r>
      <t xml:space="preserve">7. Мероприятия по поддержке и развитию культуры, искусства и архивного дела за счет средств безвозмездной помощи- 500,00 (МБ)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книг - 500,00.</t>
    </r>
  </si>
  <si>
    <t xml:space="preserve"> о реализации муниципальных программ, действующих на территории Усть-Абаканского района Республики Хакасия за 12 месяцев 2025 год.</t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</si>
  <si>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- 2866,30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1.Приобретение специальной одежды  - 537,7;                                                                                                                                                                   2.Проведение специальной оценки условий труда - 58,8;                                                                                                                                                                                             3.Проведение обучения по охране труда  - 421,1;                                                                                                                                                                      4.Проведение мед.осмотров -1 201,6;                                                                                                                                                                                                                                                                                                             5.Приобретение смывающих и обеззараживающих средств (крем, мыло) - 44,0;                                                                                                                                                                       6.Обустройство мест отдыха (обеспечение питьевой водой- куллер) - 1,4;                                                                                                                                                          7.Приобретение аптечек -14,0;                                                                                                                                                                                     8.Оснащение санитарно-бытовых помещений-436,5;                                                                                                                                                           9.Нанесение знаков безопасности -13,1;                                                                                                                                                                                                        10.Приобретение "Системы охраны труда" - 108,6;                                                                                                                                                                        11.Оснащение кабинетов (стенды) -6,00;                                                                                                                                                                                       12.Обслуживание  кондиционеров -16,5;                                                                                                                                                                                                                        13.Приобретение оценки проф.присков 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</si>
  <si>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2.Осуществление органами местного самоуправления государственных полномочий в области охраны труда - 691,10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начислениями- 691,10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</si>
  <si>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Укрепление безопасности и общественного порядка в Усть-Абаканском районе - 16,2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-1,5,                                       ^Поощрение членов общественных организаций правоохранительной направленности- 14,7.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</si>
  <si>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повышению безопасности дорожного движения - 25,5 (МБ), из них: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профилактических мероприятий- 25,5.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</si>
  <si>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 - 28,9 (МБ). </t>
    </r>
    <r>
      <rPr>
        <sz val="15"/>
        <rFont val="Times New Roman"/>
        <family val="1"/>
        <charset val="204"/>
      </rPr>
      <t xml:space="preserve">                                                Мероприятия по профилактике безнадзорности и правонарушений среди несовершеннолетних "группы риска". Трудоустройство  несовершеннолетних в период школьных каникул.</t>
    </r>
  </si>
  <si>
    <r>
      <t xml:space="preserve">Развитие рынка труда (кадровый потенциал) на сельских территориях - 180,2 (МБ). 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- 180,2 (МБ), из них: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</si>
  <si>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- 74,9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</si>
  <si>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- 4423,6 (РХ), из них: </t>
    </r>
    <r>
      <rPr>
        <sz val="15"/>
        <rFont val="Times New Roman"/>
        <family val="1"/>
        <charset val="204"/>
      </rPr>
      <t>заработная плата – 901,2; больничный лист- 3,1; начисления на выплаты по оплате труда – 272,2, сжигание и предрейсовый осмотр - 3105,2;  запчасти и масло на автомобиль - 69,8, ремонт забора на яме -65,2, страхование - 6,9</t>
    </r>
  </si>
  <si>
    <r>
      <t>Обеспечение деятельности органов местного самоуправления - 14747,3, в том числе:  10323,7 (МБ),                                                                                            4423,6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- 10248,8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–6239,2;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- 58,1;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1939,4 ;                                                                                                                                                                         4.Услуги связи – 122,8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 64,0;                                                                                                                                                                      6.Страхование -6,9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- 22,4 ;                                                                                                                            8.Увеличение стоимости материальных запасов - 480,3;                                                                                                                                                9.Прочие расходы –1308,9 ;                                                                                                                                                                                                10.Налоги -6,8,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</si>
  <si>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Реализация мер по охране окружающей среды -7727,3 (МБ).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Природоохранные мероприятия - 7727,3 (МБ).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Ликвидация свалок на территории Усть-Абаканского района.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</si>
  <si>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858,9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724,3 (МБ), 1,4 (РХ), 133,2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- 3,3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- 3,3.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</si>
  <si>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6706,00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- 205,00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^Приобретение карты ЧС - 1,4.                                                                                                                                                                              ^Приобретение раскладных кроватей с матрасов для резерва ЧС - 89,3.                                                                                                                                                             ^Проведение опашки земельных участков муниципальной собственности - 90,0;                                                                                               ^Изготовление памяток-24,3.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3.Материально- техническое обеспечение единых дежурно-диспетчерских служб муниципальных образований - 460,60, из них 363,90 (РХ), 96,70 (МБ).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Приобретены системные блоки.                                                                                                                                                             3</t>
    </r>
    <r>
      <rPr>
        <b/>
        <i/>
        <sz val="15"/>
        <rFont val="Times New Roman"/>
        <family val="1"/>
        <charset val="204"/>
      </rPr>
      <t xml:space="preserve">.Иные межбюджетные трансферты на мероприятия по защите населения  - 200,00 (МБ).                                                       </t>
    </r>
    <r>
      <rPr>
        <sz val="15"/>
        <rFont val="Times New Roman"/>
        <family val="1"/>
        <charset val="204"/>
      </rPr>
      <t xml:space="preserve"> Реализованы межбюджетные трансферты на мероприятия по защите населения от чрезвычайных ситуаций, пожарной безопасности Московскому (15,0 ), Райковскому (23,0), Сапоговскому (21,0 ), Усть-Бюрскому (28,0),Весенненскому (11,0),Чарковскому (22,0), Опытненскому (15,0), Доможаковскому (26,0),Вершино-Биджинскому(21,0), Ресцветовскому (18,0) сельским поселениям.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</si>
  <si>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- 2644,1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- 1654,68; 2. Начисления на выплаты по оплате труда (ст. 213) - 508,58; 3. Коммунальные услуги (ст.223) - 164,66; 4. Прочие работы, услуги (тех. обслуживание системы видеонаблюдения) (ст. 226) - 56,8;  5. Увеличение стоимости материальных запасов (ГСМ, дрова, уголь, канц.товары, хоз.товары) (ст.340) - 173,36;  6. Прочие расходы (ст.290) - 52,32; 7.Страхование - 6,4;8.Работы по содержанию имущества - 1,4; Остаток на счете -25,9.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</si>
  <si>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сертификатом- 43231,3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8 квартир для лиц из числа детей-сирот и оставшихся без попечения родителей, выдано 8 сертификатов на приобретение жилья.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</si>
  <si>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- 11566,40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 - 10005,30; услуги связи- 460,8, коммунальные услуги - 73,7, услуги по содержанию имущества- 131,8, прочие услуги- 191,9, страховка - 6,0 ; приобретение мат.запасов- 261,8, приобретение основных средств - 435,1.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</si>
  <si>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- 46014,50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256 дет.- 28862,2;  вознаграждение приемным семьям 37 чел. - 17152,3                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</si>
  <si>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-50,0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</si>
  <si>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Предоставления грантов субъектам молодежного предпринимательства и участникам специальной военной операции-</t>
    </r>
    <r>
      <rPr>
        <b/>
        <sz val="15"/>
        <rFont val="Times New Roman"/>
        <family val="1"/>
        <charset val="204"/>
      </rPr>
      <t xml:space="preserve"> 1500,00 , в том числе 1470,0(РХ), 30(МБ).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</si>
  <si>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злоупотребления наркотиками и их незаконного оборота - 17,9 (МБ), из них: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- 4,0;                                                                                                                                                                                       ^Антинаркотическая акция "Родительский урок" -1,9;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информационно-нагрядных материалов по профилактике правонарушений среди молодежи и несовершеннолетних -2,0;                                                                                                                                                                 ^Приобретение тест системы для экспресс диагностики наркотиков в организме-7,0;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(буклеты,баннеры).                                                                                                                     </t>
    </r>
  </si>
  <si>
    <t xml:space="preserve">  За 2025 оплачено 3 свидетельства  о праве на получение социальной выплаты на приобретение жилого помещения или создание объекта индивидуального строительства.</t>
  </si>
  <si>
    <r>
      <rPr>
        <b/>
        <i/>
        <sz val="15"/>
        <rFont val="Times New Roman"/>
        <family val="1"/>
        <charset val="204"/>
      </rPr>
      <t xml:space="preserve">1.3.«Поддержка и развитие систем коммунального комплекса в сфере в сфере теплоснабжения» - 2634,6, из них:  2011,7 (РХ), 622,9 (МБ).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1.Капитальный ремонт дымовой трубы котельной , расположенной по адресу: Республика Хакасия, Усть-Абаканский район, с. Вершино-Биджа, ул. Полевая, д. 1А - 2571,6;                                                                                                                       2.Разработка электронной модели системы теплоснабжения  и плана действий по ликвидации последствий аварийных ситуаций на системе теплоснабжения Усть-Абаканского района -63,0.</t>
    </r>
  </si>
  <si>
    <r>
      <t xml:space="preserve">1.4. «Поддержка и развитие систем коммунального комплекса в сфере в сфере водоснабжения, водоотведения» - 18332,3 , из них:  17243,6 (РХ), 1088,7 (МБ).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Строительство системы водоснабжение с. Зеленое 3 этап - 16802,0 (РХ),1088,7 (МБ).                                                                                                                                          Строительный контроль за строительством системы водоснабжения в с. Зеленое  3 этап -441,6 (РХ)</t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</si>
  <si>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- 18871,7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13423,5; социальные пособия -11,9; начисления на выплаты по оплате труда –4054,4;  услуги связи-170,9; работы, услуги по содержанию имущества – 54,0 ; прочие работы, услуги -954,3 ; увеличение стоимости материальных запасов – 144,8, увеличение стоимости прочих материальных запасов -10,0, ГСМ- 40,9; страхование -5,4; налоги 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</si>
  <si>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- 10183,60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-7594,4 ; социальные пособия и компенсации - 20,1; начисления на выплаты по оплате труда – 2270,7; услуги связи – 75,9;  работы,услуги по содержанию имущества -35,2; прочие работы, услуги – 91,8 ;страхование - 4,7; увеличение стоимости материальных запасов – 27,8; ГСМ- 60,3; техосмотр-2,0, налоги - 0,7.</t>
    </r>
  </si>
  <si>
    <t>^Осуществление полномочий по расчету и предоставлению дотаций бюджетам поселений- 271,4 (РХ).</t>
  </si>
  <si>
    <r>
      <t xml:space="preserve">5.Финансовое обеспечение расходных обязательств поселений на решение вопросов местного значения - 4075,0  (МБ).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 - 4075,0 (МБ).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</si>
  <si>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- 724,1 (РХ).    </t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</si>
  <si>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- 459,9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- 459,9;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</si>
  <si>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4.Мероприятия по подготовке градостроительной документации - 100,0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^Подготовка документов тер.планирования и правил землепользования и застройки - 100,0.</t>
    </r>
  </si>
  <si>
    <r>
      <t>6.Обеспечение обслуживания, содержания и распоряжения муниципальной собственностью - 516,7(МБ)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- 87,65;                                                                                                                                                                    ^Охрана муниципального имущества - 33,0;                                                                                                                                                               ^Транспортный налог - 17,85;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- 151,2;                                                                                                                                                                                                           ^Оценка муниципального имущества - 88,0;                                                                                                                                         ^Ремонт полов  в квартире - 94,2;                                                                                                                                                                                                     ^Услуги по содержанию и ремонту общего имущества - 44,8.</t>
    </r>
    <r>
      <rPr>
        <sz val="15"/>
        <color rgb="FFFF0000"/>
        <rFont val="Times New Roman"/>
        <family val="1"/>
        <charset val="204"/>
      </rPr>
      <t xml:space="preserve">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</si>
  <si>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1.Органы местного самоуправления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 xml:space="preserve">24484,5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- 14554,1 ;                                                                                                                                                                       2.Начисления на выплаты по оплате труда - 4340,10;                                                                                                                                                                3.Услуги связи - 260,0;                                                                                                                                                                                              4.Работы, услуги по содержанию имущества - 272,17 ;                                                                                                                                                                 5.Обслуж. и обновление прог.обеспеч.- 762,6;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-474,4 ;                                                                                                                                                                         7.Приобретение материальных запасов- 164,2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расходы- 576,4;                                                                                                                                                                                      9.Командировочные расходы -25,4;                                                                                                                                               10.Медосмотр,прочие услуги- 267,01;                                                                                                                                                                     11.Приобретение баннера -29,42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12.Налоги -2758,7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</si>
  <si>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4230,8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- 3753,1; коммунальные услуги - 150,8, прочие расходы - 91,5, приобретение материальных запасов - 235,4.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</si>
  <si>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 Создание условий для занятий физической культурой и спортом - 58,8 (МБ).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Услуги ледового катка для занятий по хоккею с мячом - 58,8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3. Создание условий для занятий физической культурой и спортом за счет средств безвозмездной помощи- </t>
    </r>
    <r>
      <rPr>
        <b/>
        <i/>
        <sz val="15"/>
        <rFont val="Times New Roman"/>
        <family val="1"/>
        <charset val="204"/>
      </rPr>
      <t xml:space="preserve">300,0 (МБ).  </t>
    </r>
    <r>
      <rPr>
        <i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Замена окон в МБУДО "Усть-Абаканская СШ" (остаток на счете 300,0)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4.Укрепление материально-технической базы- 100,00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- 100,0</t>
    </r>
  </si>
  <si>
    <t xml:space="preserve">16. Перв-во У-А р-на п/рус. лапте в честь Дня России - 2,25 (медали); 17. Услуги по организации питания - 11,2; 18. Фестиваль ВФСК "ГТО" среди воспитанников СШ, посвящ. Дню памяти жертв терроризма 3 сен. 2025 и Спартакиада ВФСК "ГТО" среди труд.кол-ов У-А р-на, посвящ. Юбилею Победу в ВОВ 17 сен. 2025 - 10,54 (медали, кубки, фотобумага); 19. Спортивно-массовые мероприятия "Открытие спортивного сезона - 2025" 13 сен. 2025 и по мини-футболу 15, 22, 29 сен. 2025 - 26,84 (медали, кубки, питание участников, фотобумага, одн.посуда, сладкие призы);                                                        </t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</si>
  <si>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- 41083,52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 29776,19; 2. Пособия по временной нетрудоспособности (ст. 266) - 43,78; 3. Начисления на выплаты по оплате труда (ст.213) — 9008,24; 4. Услуги связи (ст.221) — 27,85; 5. Коммунальные услуги (ст.223) — 917,17; 6. Услуги по содержанию имущества (ст.225) —500,79; 7. Прочие работы, услуги (ст.226) — 114,0 (предрейсовый осмотр - 18,36, размещение инф-ии на сайте -15,4, договор ГПХ - 34,06, усл. охраны - 5,5, доступ к инф.базе-6,0, услуга по переносу данных сайта-2,0, монтаж абон.терминала-9,2, эксп.-тех.обсл. уст. видеонаблюдения, системы монит.-19,8, услуги ГЛОНАСС - 3,68); 7. Страхование ТС (ст.227) - 4,71; 8. Увеличение стоимости основных средств (ст.310) - 74,78; 9. Увеличение стоимости прочих оборотных запасов (материалов) (ст.340) - 241,14; 10. Прочие расходы (ст.290) — 94,6; 10. Остаток на счете - 280,27.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</si>
  <si>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- 108,5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СШ. 1. Уч-ие в краевом тур-ре п/баскетболу "Баскетбол на Енисее" среди девушек до 13 лет с 5 по 10 янв. 2025 - 6,81 (проезд, суточные); 2. Уч-ие в перв-ве РХ п/боксу среди юношей с 23 по 26 янв. 2025 г. Абаза - 8,2 (проезд, проживание, суточные); 3. Уч-ие в межрег. сорев-ях "Лига Сибири" п/баскетболу дивизион В.Курилова с 1 по 5 фев. 2025 г. Зеленогорск - 5,97 (проезд, суточные); 4. Уч-ие в Всероссийском тур-ре "SIBERIA OPEN-2025" п/косики карате-до с 14 по 19 фев. 2025 г. Барнаул - 9,6 (проезд, проживание, суточные); 5. Уч-ие в сорев-ях п/боксу - 5,32 (проезд, проживание, суточные); 6. Уч-ие в межрег. сорев-ях "Лига Сибири" п/баскетболу среди юношей с 13 по 18 фев. 2025 г. Ачинск - 10,97 (проезд, проживание, суточные); 7. Уч-ие в межрегион. сорев-ях "Лига Сибири" п/баскетболу дивизион В.Курилова с 16 по 21 апр. 2025 в г. Ачинск - 13,79 (проезд, суточные); 8. Уч-ие в тур-ре п/хоккею с мячом, посв. закрытию зимнего сезона 2024/2025 с 16 по 19 апр. 2025 в г. Кемерово - 12,95 (проживание, суточные); 9. Уч-ие в тур-ре п/хоккею с мячом "Весенний лед на Енисее" с 24 по 28 апр. 2025 в г. Красноярск - 8,5 (проживание, суточные); 10. Перевозка пассажиров - 0,48; 11. Междунар. тур-р "ASIA CUP-2025" п/косики каратэ-до с 15 до 20 мая 2025г. г. Барнаул - 10,44 (проезд, проживание, суточные); 11. Всерос. Футбольный турнир Локобол-2025-РЖД среди девочек с 16 по 19 июня 2025 тренера-препод. Линдт Г.В. и Екимков Г.В. - 15,47 (проезд, суточные).                                                                                                    </t>
    </r>
  </si>
  <si>
    <r>
      <t xml:space="preserve">5.Обеспечение деятельности подведомственных учреждений МАУ "Универсальный спортивный зал» -                          28350,38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З1. Заработная плата (ст.211) -14841,68; 2. Пособия по временной нетрудоспособности - 21,61; 5. Начисления на выплаты по оплате труда (ст.213) — 4397,56; 6. Услуги связи (ст.221) -65,02; 7. Коммунальные услуги (ст.223) - 1571,57; 8. Услуги по содержанию имущества (ст.225) - 676,29; 9. Прочие работы, услуги (ст.226) — 145,63 ( повыш. квалиф.-30,27, усл. по ТО видеонабл. и сист.управ.конт.дост.-65,0, экстр. выезд группы задержания-27,52, услуги ТО ОС-6,84, разр.инф. на страницах интернет-сайта-8,0, услуги нотариуса-8,0); 10. Увеличение стоимости основных средств (ст.310) - 3,9; 12. Увеличение стоимости прочих оборотных запасов (материалов) (ст.340) - 264,53; 13. Прочие расходы (ст.290) — 4863,78; 14. Остаток на счете - 1498,81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</si>
  <si>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- 2149,80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- 1587,31; 2. Начисления на выплаты по оплате труда (ст.213) - 478,52; 3. Услуги связи (ст.221) - 22,22; 4. Прочие работы, услуги (ст.226) - 24,7 (сопровождение сайта-20,7, услуги нотариуса-4,0); 5. увеличение стоимости основных средств (ст. 310) - 20,84, 6. Увеличение стоимости материальных запасов (ст.340) - 4,8, 7.Налоги, сборы  прочие (ст.290) - 2,16; 8. Остаток на счете - 9,25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</si>
  <si>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- 360,57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1. Всероссийская акция "Знамя победы" - 7,8(ткань); 2. Акция "Свеча Памяти" - 63,89 (свечи, георгиевская лента, баннер фот-зона); 3. Акция "Подвиги отцов крылья сыновей" - 25,0; 4. Районный конкурс "Молодежная инициатива - 52,8; 5.  Реализация проектов по временной занятости молодежи -54,98; 6. Районная акция "Безымянных могил не бывает" - 24,35; 7. Мероприятие "Загадка человека Х" - 12,15; 8. Мастер-класс "Юбилей аал. Доможаков" - 4,2; 9. Игр. программа "Город засыпает" - 1,36; 10. Мастер-класс ко Дню Государственного флага РФ "Российский флаг зажигает сердца" - 5,0; 11. Районная акция ко Дню государственного флага РФ - "Триколор нашей родины" - 2,7; 12. Районный марафон волонтеров "Чистые сердцем" - 31,0; 13. Мероприятие "Матушка-Россия"- 20,63; 14. Новогодние мероприятия-24,03; 15. Про Капуста - 15,31, 16.День материа-9,02, 17.Остаток на счете-6,38.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</si>
  <si>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Поддержка одаренных детей и молодежи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- 1329,73 (МБ)                                                      </t>
    </r>
    <r>
      <rPr>
        <sz val="15"/>
        <rFont val="Times New Roman"/>
        <family val="1"/>
        <charset val="204"/>
      </rPr>
      <t>ДК: Республиканский фестиваль "Под Алым парусом Хакасии" - 1329,73.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</si>
  <si>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- 329,37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1. Концерт, посвящ. Дню защитника отечества и 80-ию ВОВ "Солдат, защитник, победитель" - 4,7; 2. Театр. игр. программа "Широкая Масленица" - 20,0; 3. Поздрав. вечер "Первые тюльпаны", посвящ. 8 Марта - 4,95; 4. Районный конкурс "На балу у золушки" - 5,31; 5. Интерактивная игра Брейн-ринг" по истории ВОВ - 4,98; 6. Празднование 80-летней годовщины Победы в ВОВ  - 29,62; 7. Мероприятие "Открытие творческого сезона" - 8,9; 8. Мероприятие посвящ. дню защиты детей "Я держу в ладошках солнце" - 9,5; 9. Концерт "Вместе мы Россия" посв. дню России - 5,0; 10. Торжественный концерт, посвящ. Дню медицинского работника - 0,84; 11. Районный вечер чествования "Вперед к успеху"-14,93; 12. Детская игр.программа "На Ивана, на Купалу"- 4,9; 13. Торжеств. мероприятие, посвящ. Дню военно-морского флота-20,67; 14. Мероприятие "День Чатхана" - 17,05;  15. Новогодние мероприятия-74,52                                                                                                                                                                                                                                   РДК: 1. Выставка-конкурс "На страже Родины" - 0,35;  2. Фестиваль, посвящ. Дню работника культуры "Звезда Культуры" - 10,0; 3. Фестиваль патр.песни "О родине, о доблести, о славе" - 8,85; 4. Районная выставка-конкурс "Пасха радость нам несет" - 4,0; 5. Районная выставка-конкурс "Это у нас семейное" - 1,99; 6. Праздник "Этот мир мы дарим детям", посв. дню защиты детей - 4,18; 7. Мероприятия по организации летнего отдыха детей и подростков "Влетаем в лето" - 10,82; 8. Районный онлайн-фотоконкурс "Таинственная Хакасия", посвящ. Дню Республики - 1,89; 9. Районный фотоконкурс "Енисей вчера, сегодня, завтра" - 4,91; 10. Международный конкурс  "КИТ"-7,0; 11. Про капусту - 10,0, 12.Новогодние утренники-5,0, 13. Елка Главы-34,51</t>
    </r>
  </si>
  <si>
    <t>РДК: 1. Конкурс "Парень России - 10,0; Конкурс чтецов "И слово ковало Победу" - 5,0; 3. День работника жильщно-комун. хозяйства - 11,0; 4. Курсы повышения квалификации - 3,5; 5. Фестиваль, посвящ. Дню работника культуры "Звезда Культуры" -37,90; 6. Размещение информации видеосюжетов в регион. эфире - 125,0; 7. Выставка "Нам жить и помнить" - 6,0; 8. Празднование 80-летней годовщины Победы в ВОВ - 254,46; 9. Районный конкурс худ. чтения среди детей "Поэтическая весна - 2025" - 3,0; 10. Районный фотопроект "Портрет героя СВО" - 5,0; 11. Участие в фестивале "Гордость Сибири - 2025" - 2,5; 12. Мероприятие, посвящ. Дню России - 5,0; 13. День матери-13,85; 14. Рожденные в СССР-12,74; 15. выставка-конкурс "Золотые руки наших мастеров"-2,02; 16. конкурс "Пою мое отечество"-2,48; участие в конкурсе Казачьей песни-35,0</t>
  </si>
  <si>
    <r>
      <t xml:space="preserve">3.Мероприятия по поддержке и развитию культуры, искусства и архивного дела за счет средств безвозмездной помощи-402,0 (МБ).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новогодних подарков за счет средств безвозмездной помощи от АО ЗДК "Золотая звезда"</t>
    </r>
  </si>
  <si>
    <r>
      <t xml:space="preserve">4. Иные межбюджетные трансферты на мероприятия по поддержке и развитию культуры счет средств безвозмездной помощи  - 2321,76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туалета, текущий ремонт спортивного зала в МКУК "Чарковский СДК", за счет средств безвозмездной помощи от АО ЗДК "Золотая звезда"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</si>
  <si>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42293,38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1. Заработная плата (ст.211) -29791,77; 2. Соц. пособия (Б. листы) (ст. 266) - 58,61; 3. Начисления на выплаты по оплате труда (ст.213) - 8979,28; 4. Услуги связи (ст.221) - 742,67; 5. Коммунальные услуги (ст.223) - 1296,9; 6. Услуги по содержанию имущества (ст.225) - 216,04; 7. Прочие работы, услуги (ст.226) - 418,05 (услуги по охране-31,2, подписка-22,54, сопровождение сайта-6,15, поставка период. печатных изданий-313,24; услуги по обустройству ограждения-44,92); 8. Увеличение стоимости прочих оборотных запасов (материалов) (ст.346) - 206,33; 9. Увеличение стоимости основных средств (ст.310) - 96,14; 10. Увеличение стоимости ГСМ (ст.343) - 71,4; 11. Увеличение стоимости строительных материалов (ст.344) - 36,32; 12. Прочие расходы (ст.290) - 38,42; 13. Остаток на счете - 341,45.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</si>
  <si>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- 2081,42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ЦБС: 1. Электронная библиотека ЛитРес - 60,0; 2. Проверка сметной документации по объекту - 40,62; 3. Повышение квалификации сотрудников - 6,0; 4. Празднование 80-летней годовщины Победы в ВОВ - 20,0; 5. Празднование юбилеев библиотек и общероссийского дня - 82,86; 6. Приобретение потолочного разделителя - 22,8; 7. Услуги по проведению строит. контроля "Текущий ремонт В-Биджинской сельской библиотеки" - 46,88; 8. Выполнение работ по текущему ремонту В-Биджинской сельской библиотеки - 449,82; 9. Комплектование книжных фондов-405,77, 10.Приобретение библиотечного оборудования (стеллажи, столы)-580,73, 11. текущий ремонту кровли зданий Райков.сельс.биб., ф№12 -240,0, 12. монтаж охранной сигнализации - 76,5, 13.открытие модельной библиотеки-49,44.</t>
    </r>
  </si>
  <si>
    <r>
      <rPr>
        <b/>
        <sz val="15"/>
        <rFont val="Times New Roman"/>
        <family val="1"/>
        <charset val="204"/>
      </rPr>
      <t xml:space="preserve">Региональный проект "Семейные ценности и инфраструктура культуры"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1.Создание модельных библиотек (в том числе софинансирование с республиканским бюджетом) - 8080,81, из них: 80,81 (МБ), 80,0 (РХ), 7920,0 (ФБ).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Создание модельных муниципальных библиотек в с. Вершино-Биджа - 8080,81.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</si>
  <si>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- 6103,56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3491,51; 2. Пособие по врем.нетруд. (266) - 8,66; 3. Начисления на выплаты по оплате труда (ст.213) — 1064,61; 4. Услуги связи (ст.221) - 50,52; 5. Коммунальные услуги (ст.223) — 293,08; 6. Работы, услуги по содержанию имущества (ст.225) — 228,63; 7. Прочие работы, услуги (ст.226) — 271,71 (услуги по охране-69,14, ТО оборудования вх. в систему видеонаблюдения-108,0, доступ к инфор. базе-9,15, сопровождение сайта-14,8, предрейс. осм. водителя-15,12; адаптация и тестирование программы ККТ-7,3; бумага для офис.техники, ПО Касперский-10,0; монтаж настройка и проверка об-я ГЛОНАСС-9,2; тех. обслуживание ключа SSL-2,9; обучение--26,1); 8. Страхование (ст.227) — 24,76; 9. Увеличение стоимости ГСМ (ст.343) — 236,18; 10. Увеличение стоимости строительных материалов (ст.344) - 46,24; 11. Увеличение стоимости прочих оборотных запасов (ст.346) — 125,62 (канц. и хоз.товары); 12. Увеличение стоимости основных средств (ст.310) — 61,61; 13. Прочие расходы (290) - 112,03; 14. Остаток на счете - 88,4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</si>
  <si>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4.Государственная поддержка отрасли культуры (комплектование книжных фондов) (в том числе софинансирование с республиканским бюджетом)- 123,63, из них 1,23 (МБ),1,2 (РХ), 121,2 (ФБ).                                                                                                    </t>
    </r>
    <r>
      <rPr>
        <sz val="15"/>
        <rFont val="Times New Roman"/>
        <family val="1"/>
        <charset val="204"/>
      </rPr>
      <t>Комплектование книжных фондов - 123,63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</si>
  <si>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 17833,30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труда-17 160,5, услуги связи - 70,1, коммунальные услуги - 328,2,  услуги по сод.имущества - 176,8 , прочие услуги - 41,4 , приобретение мат.запасов- 52,8,  прочие расходы - 3,5.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</si>
  <si>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- 240,0 (МБ)</t>
    </r>
    <r>
      <rPr>
        <sz val="15"/>
        <rFont val="Times New Roman"/>
        <family val="1"/>
        <charset val="204"/>
      </rPr>
      <t>, из них:                                                  Чемпионат прикладного искусства - 42,4, игра "Зарничка" для дошкольников (награждение) -5,0 , участие в г. Сочи "Я-исследователь" - 12,4; денежное вознаграждение выпускникам - 80,00, организация выпускного (дипломы, сертификаты подарочные, цветы) - 72,25;  награждение 27,95 .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</si>
  <si>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- 8405,9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 оплата труда - 8016,9, коммунальные услуги - 189,2, приобретение основных средств- 135,2, приобретение мат.запасов-64,6.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</si>
  <si>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 70315,40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- 48 367,9,  услуги связи - 144,2, транспортные услуги - 253,1, коммунальные услуги -12 289,8, услуги по сод.имущества - 2 733,1, прочие услуги - 855,0, прочие расходы - 3 767,7, приобретение основных средств - 277,0, приобретение мат.запасов -1 627,6. </t>
    </r>
  </si>
  <si>
    <r>
      <t xml:space="preserve">2.Капитальный ремонт в муниципальных учреждениях, в том числе проектно-сметная документация -                      300,0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обследования, предоставление технического заключения о состоянии здания МБДОУ "ДС "Родничок" - 150,00; оценка  тех. состояния,обследование строительных конструкций МБДОУ "ЦРР-ДС "Аленушка" 150,00. </t>
    </r>
  </si>
  <si>
    <t>(226) повышение квалиф. в области пожар. безопасности: В-Биджинская СОШ - 2,5 руб, Солнечная СОШ - 10,0 руб, Усть-Абаканская СОШ - 5,0 руб, Усть-Бюрская СОШ - 2,5 руб, Чапаевская СОШ - 12,5 руб., Сапоговская СОШ - 2,5 руб., обследование здания В-Биджинская СОШ - 187, 00 руб., установка арматуры котла Весенненская СОШ - 120,3 руб.,</t>
  </si>
  <si>
    <t>(310) Поставка насоса Весенненская СОШ - 148,2 ; Поставка огнетушителей: Доможаковская СОШ - 19,8 , ОШИ - 5,7. Красноозерная ООШ - 7,6, Сапоговская СОШ - 3,9 , Чарковская СОШИ - 32,7 ; Поставка веб.камер для ГИА Усть-Абаканская СОШ - 12,0; поставка котла Весенненская СОШ - 565,0; приобретение мебели В-Биджинская СОШ - 125,0, приобретение циркуляционного насоса Сапоговская СОШ - 165,0, приобретение эл.плиты Солнечная СОШ - 110,7.</t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</si>
  <si>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- 4547,8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(225) Испытание пожарных кранов: ОШИ - 2,6, Чарковская СОШИ - 3,3;  В-Биджинская СОШ - 3,6, Весенненская СОШ - 3,9, Росток - 9,6 , Красноозерная ООШ - 4,0, Московская СОШ - 10,5; Проверка качества огнезащитной обработки кровли: Чарковская СОШИ - 12,0, В-Биджинская СОШ - 8,0, Красноозерная ООШ - 4,0, Опытненская СОШ - 7,6, Росток - 5,5, Расцветская СОШ - 4,0, Московская СОШ - 11,0, Сапоговская СОШ- 5,0, Усть-Абаканская СОШ - 23,6;  Установка котла Весенненская СОШ - 105,0,  испытание ограждения кровли: Расцветская СОШ - 13,1;  Обработка деревянных конструкций кровли: Расцветская СОШ - 129,6 , ОШИ - 83,7, Калининская СОШ - 70,2 , Сапоговская СОШ - 116,1;испытание  качества огнезащитной обработки кровли: Солнечная СОШ - 31,0 , Калининская СОШ - 11,5, Доможаковская СОШ  - 45,0 , Усть-Бюрская СОШ - 7,2; Ремонт окна в спортзале (после ЧС от 05.04.2025) Усть-Абаканская СОШ - 32,6 ; аварино-восстановительный ремонт сети наружной канализации: Калининская СОШ - 260,7, Расцветская СОШ - 108,6; аварийно-восстановительный ремонт кровли Усть-Абаканская СОШ - 252,0;  аварийно-восстановительный ремонт кровли Райковская СОШ - 613,7 , аварийно-восстановительный ремонт кровли Сапоговская СОШ - 346,4, аварийно-восстановительный ремонт кровли Чарковская СОШИ - 281,3, текущий ремонт водонагревательного котла Сапоговская СОШ - 41,9, частичный ремонт кровли Солнечная СОШ - 89,0.</t>
    </r>
  </si>
  <si>
    <r>
      <t xml:space="preserve">5.Приобретение жилья для специалистов с высшим педагогическим образованием - 2269,07 (РХ)                                                                           </t>
    </r>
    <r>
      <rPr>
        <sz val="15"/>
        <rFont val="Times New Roman"/>
        <family val="1"/>
        <charset val="204"/>
      </rPr>
      <t>Приобретение жилого помещения для педагогов с высшим педагогическим образованием</t>
    </r>
  </si>
  <si>
    <r>
      <t xml:space="preserve">«Региональный проект Республики Хакасия "Все лучшее детям»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Оснащение предметных кабинетов общеобразовательных организаций средствами обучения и воспитания (в том числе софинансирование  с республиканским бюджетом)-2542,85, из них 25,43 (МБ), 25,17 (РХ), 2492,25 (ФБ)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Оснащение предметных кабинетов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</si>
  <si>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- 1405,20 (МБ), </t>
    </r>
    <r>
      <rPr>
        <sz val="15"/>
        <rFont val="Times New Roman"/>
        <family val="1"/>
        <charset val="204"/>
      </rPr>
      <t>из них: оплата труда-1 244,4 , услуги связи-10,0, услуги по сод.имущества- 5,0, прочие услуги-129,0,приобретение мат.запасов-16,8.</t>
    </r>
  </si>
  <si>
    <t>5.Выплата дополнительных мер социальной поддержки студентам, обучающимся в образовательных организациях высшего образования по договорам о целевом обучении-8,9 (МБ).</t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</si>
  <si>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организациях (в том числе софинансирование с федеральным бюджетом) -  2559,42, из них  25,59(РХ), 2533,83(ФБ).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</si>
  <si>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 73507,95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</si>
  <si>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- 36135,40 (МБ),</t>
    </r>
    <r>
      <rPr>
        <sz val="15"/>
        <rFont val="Times New Roman"/>
        <family val="1"/>
        <charset val="204"/>
      </rPr>
      <t xml:space="preserve"> из них: оплата труда-32 444,4,услуги связи-123,9,коммунальные услуги-657,6, услуги по сод.имущества- 617,3,прочие услуги-1 322,1 ,страхование- 11,1, прочие расходы-11,4,приобретение основных средств-396,9, приобретение мат.запасов-550,7.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</si>
  <si>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- 11685,7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их них: оплата труда-10 865,00,  услуги связи -73,8, услуги по сод.имущества - 25,1, прочие услуги- 441,5, прочие расходы-121,4, приобретение основных средств- 88,5, приобретение мат.запасов - 70,4. </t>
    </r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</si>
  <si>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- 885,77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</si>
  <si>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t xml:space="preserve">5.Модернизация региональных систем дошкольного образования (софинансирование)- 51,94, из них 1,04 (МБ) , 50,9 (РХ)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Монтаж системы наружного освещения : д/с Солнышко  (кредиторская задолженность 2024 г) (софинансирование)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</si>
  <si>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организации)-178749,33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 - оплата труда- 71 918,7, услуги связи-293,5, транспортные услуги- 2 740,7, коммунальные услуги-55 557,2, аренда-569,8 ,услуги по сод.имущества- 12 783,1, прочие услуги-5 022,9, страхование-222,9, прочие расходы-12 525,3, приобретение основных средств-432,0, приобретение мат.запасов-16 683,23.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</si>
  <si>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- 16269,80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- 11567,1; социальные пособия - 13,2; начисления на выплаты по оплате труда - 3344,4; услуги связи - 112,3; коммунальные услуги- 246,2; услуги по содержанию имущества - 200,1 ; прочие работы, услуги - 375,5; увеличение стоимости мат.запасов -  197,8; увеличение стоимости мягкого инвентаря - 1,2; прочие налоги и сборы - 19,0; ГСМ - 186,0; увеличение стоимости основных средств - 7,0.</t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</si>
  <si>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- 1783,30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- 772,8 (РХ)      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</si>
  <si>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- 654,30 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Испытание пожарных кранов: д/с Калинка - 2,7, д/с Радуга - 9,6 , д/с Рябинушка - 4,2 , д/с Аленушка - 1,2 ;    испытание качества огнзащитной обработки деревянных конструкций кровли : д/с Рябинушка - 7,8 , д/с Родничок - 5,0 , д/с Аленушка - 5,00 ;  замена трансформаторов тока, светильников д/с Солнышко - 29,1; монтаж системы видеонаблюдения д/с Радуга - 49,5 ;  повышение квалиф. в области пожар. безопасности: д/с Родничок - 2,5, д/с Рябинушка - 2,5, д/с Ласточка - 2,5; Поставка огнетушителей МБДОУ "ДС "Аленушка" - 7,6; ремонт котла  д/с Калинка - 175,6; аварийно-восстановительный ремонт кровли д/с Ласточка - 152,2; обработка деревянных конструкций кровли: д/с Радуга - 157,5, д/с Родничок - 39,8.</t>
    </r>
  </si>
  <si>
    <r>
      <t>2.Капитальный ремонт в муниципальных учреждениях, в том числе проектно-сметная документация-504,60 (МБ)                                                                                                                                                                                                                                  Э</t>
    </r>
    <r>
      <rPr>
        <sz val="15"/>
        <rFont val="Times New Roman"/>
        <family val="1"/>
        <charset val="204"/>
      </rPr>
      <t>кспертиза сметной стоимости капитального ремонта здания МБОУ «Усть-Абаканская СОШ (корпус № 2) - 178,0; проверка сметной документации по объекту"капитальный аварийно-восстановительный ремонт (после ЧС от 05.04.2025): Доможаковская СОШ - 7,9, Красноозерная ООШ - 7,9, Райковская СОШ - 7,9, Сапоговская СОШ - 7,9, Усть-Абаканская СОШ - 105,9, Чарковская СОШИ - 7,9; кап.ремонт наружной канализации Доможаковская СОШ - 120,5, кап.ремонт системы отопления Солнечная СОШ - 60,7.</t>
    </r>
  </si>
  <si>
    <t>(346) Поставка офисной бумаги для ГИА: Усть-Абаканская СОШ - 8,7 , Калининская СОШ - 2,6 , Опытненская СОШ - 2,5, Сапоговская СОШ- 2,0, Усть-Бюрская СОШ -1,7, приобретение пожарных знаков Усть-Бюрская СОШ - 5,6.</t>
  </si>
  <si>
    <t>Приобретение для награждения в конкурсах "Учитель года", "Педагог ДОО" "Про100Лидеры" телевизор, кофеварка, эл. гриль, пылесос, умная колонка, блендер, тостер - 89,0 ; награждение (цветы, медаль, приз из акрила) - 120,92, Поставка фотобумаги - 20,08.</t>
  </si>
  <si>
    <r>
      <t>4.Обеспечение деятельности подведомственных учреждений (Муниципальное казенное и учреждение "Центр психолого-педагогической, медицинской и социальной помощи "ГРАНИЦ.НЕТ")- 1236,3(МБ):</t>
    </r>
    <r>
      <rPr>
        <sz val="15"/>
        <rFont val="Times New Roman"/>
        <family val="1"/>
        <charset val="204"/>
      </rPr>
      <t>оплата труда-1015,6, услуги связи- 13,0, услуги по сод.имущества- 4,0, прочие услуги-87,8,приобретение основных средств- 33,7, приобретение мат.запасов- 82,2.</t>
    </r>
  </si>
  <si>
    <r>
      <t xml:space="preserve">«Реализация инициативных проектов муниципального образования »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проекта "Родничок - территория счастливого и безопасного детства" - 2000,0 (РХ):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Приобретение теневых навесов, устройство брусчатки МБДОУ "ДС "Родничок".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проекта "Спортивная молодежь - сильная Россия - 2000,0 (РХ):                                                                 </t>
    </r>
    <r>
      <rPr>
        <sz val="15"/>
        <rFont val="Times New Roman"/>
        <family val="1"/>
        <charset val="204"/>
      </rPr>
      <t>Устройство универсальной спортивной площадки (мини-футбол, волейбол) МБОУ "Чапаевская СОШ".</t>
    </r>
  </si>
  <si>
    <r>
      <rPr>
        <b/>
        <i/>
        <sz val="15"/>
        <rFont val="Times New Roman"/>
        <family val="1"/>
        <charset val="204"/>
      </rPr>
      <t xml:space="preserve">2.Создание условия для обеспечения современного качества дополнительного образования- 68,9 (МБ)    </t>
    </r>
    <r>
      <rPr>
        <i/>
        <sz val="15"/>
        <rFont val="Times New Roman"/>
        <family val="1"/>
        <charset val="204"/>
      </rPr>
      <t xml:space="preserve">                                                 </t>
    </r>
    <r>
      <rPr>
        <sz val="15"/>
        <rFont val="Times New Roman"/>
        <family val="1"/>
        <charset val="204"/>
      </rPr>
      <t>Испытание качества огнезащитной обработки деревянных конструкций кровли ЦДО - 4,0; повышение квалиф. в области пожар. безопасности - 5,0, монтаж видеонаблюдения - 28,8; аварийно-восстановительный ремонт отдельных мест кровельного покрытия - 26,1; поставка огнетушителей - 5,00.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</si>
  <si>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- 1171,75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ДК: 1. Конкурс рисунков "Зимние фантазии" - 5,0; 2. Выездная игровая программа "Молодецкие забавы" п. Ташеба - 1,8; 3. Конкурс ДПИ и ИЗО "Праздник наших героев" в честь 23 февраля и дня Победы - 2,0; 4. Народ. гулянья "Румяная масленица" с. Московское - 10,75; 5. Поздрав. вечер "Первые тюльпаны", посвящ. 8 Марта - 5,38; 6. Районный конкурс ДПИ "8-е Марта" - 5,0; 7. Конкурс рисунков "Взгляни на небо" посвящ. дню космонавтики - 1,97; 8. Участие в межрегиональном конкурсе нац.танца "Сибирская карусель" - 68,08; 9. День работника культуры - 2,64; 10. Празднование 80-летней годовщины Победы в ВОВ - 75,53; 11. Открытая спартакиада Райковского сельсовета У-А р-на РХ по конному спорту - 16,81; 12. Праздник 9 мая "Труженики Тыла" - 5,0; 13. Размещение информации видеосюжетов в регион. эфире - 125,0; 14. Конкурс рисунков "Солнечный круг" ко Дню защиты детей - 1,94; 15. Пресс-тур по сельскохоз. объектам У-А р-на "С любовью к родной земле" - 70,8; 16. Торжественный концерт, посвящ. Дню медицинского работника - 36,13; 17. Услуги по выступлению с вокал.номером и по выступлению танц.коллектива, уч. на Районном выпускном вечере "Вперед к успеху" - 24,49; 18. День села Калинино - 20,3; 19. Выездная игр. программа п. Оросительный - 11,99; 20. День села Московское - 10,5; 21. День села Усть-Бюр - 10,94; 22. День села аал. Райков - 10,94; 23. День села д. Чапаево - 10,94; 24. Выездные мероприятия - 58,8; 25. Молоды душой-9,3; Елка Главы-31,73; Елка желаний-3,54           </t>
    </r>
  </si>
  <si>
    <t>30. Мероприятия ко Дню окончания Второй Мировой войны "Сентябрь 1945 года" - 5,0; 31. Акция к 1 сентября - 2,0; 32. Мероприятия к 5-летию Музея - 10,0; 33. Акция ко Дню мира - 2,0; 34. Стенд - 11,5; 35. конкур-выставка-"Барыня капуста"-5,03; 36. мероприятия ко Дню бабушек и дедушек -0,84; 37. Мероприятия памяти жертв политических репрессий-3,0; 38. Димитровская суббота-14,0; 39.День неизвестного солдата - 14,8; 40. мастер-класс "Волшебная новогодняя игрушка" - 0,86,  41.Квиз "Зимнее настроение" - 14,02; 42. Квиз "Зимний драйв" - 9,0; 43. экспозиция "Новый год 80-х" - 16,44; 44.монтаж и подключение электрооборудования а.Чарков - 86,06;  45. Остаток на счете - 4,67</t>
  </si>
  <si>
    <r>
      <t xml:space="preserve">3.Обеспечение безопасности музейного фонда и развитие музеев - 170,0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 Акарициднвя обработка, дератизация территории - 84,0; 2. Мероприятие "День открытых дверей" - 15,0; 3. Опашка территории музея - 30,0; 4. Выкашивание травы на Барсучьем Логе - 15,0; 5. Услуги шамана (обряд) - 15,0; 6. Безрукавки этнические -11,0</t>
    </r>
  </si>
  <si>
    <r>
      <t xml:space="preserve">2.Мероприятия по поддержке и развитию культуры, искусства и архивного дела за счет средств безвозмездной помощи - 1403,05 (МБ)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Обустройство основания и благоустройство площадки - 450,0; 2. Изготовления герг.ленты-100,0, 3. стенд-100,0, 4. форма волонтерская-100,0;  5. Акустическая система, цифровая радиосистема, кабеля - 250,0; 6. монтаж системы видеонаблюдения -374,85; 7. ТО системы видеонаблюдения-28,2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</si>
  <si>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- 7148,90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(ст.211,266) - 5397,14; 2. Начисления на выплаты по оплате труда (ст.213) - 1557,09; 3. Услуги связи (ст.221) - 37,93; 4. Услуги по содержанию имущества (ст.225) - 12,75 (заправка картриджа); 5. Прочие работы и услуги (ст.226) - 131,6 (Консультант Плюс - 110,18, сопровождение сайта - 7,9, обучение-13,52); 6. Увеличение стоимости основных средств (ст. 310) - 9,3; 7. Увеличение стоимости материальных запасов (ст. 346) - 3,09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</si>
  <si>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- 30013,30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- 22410,97; 2. Социальные пособия и компенсации персоналу (ст.266) - 37,95; 3. Начисления на выплаты по оплате труда (ст.213) - 6463,35; 4. Услуги связи (ст. 221) - 71,15; 5. Услуги по содержанию имущества (ст.225) - 83,54 (заправка картриджа); 6. Прочие работы, услуги (ст.226) - 788,1; 7. Страхование (ст. 227) - 4,9; 8. Увеличение стоимости основных средств (ст. 310) - 3,5; 9. Увеличение стоимости ГСМ (ст.343) - 117,0; 10. Увеличение стоимости материальных запасов (ст. 346) - 25,8; 11. Прочие расходы (ст. 290) - 7,04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</si>
  <si>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- 395,80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1-2 фев. 2025 - 48,15 (медали, кубки, призы, фотобумага, торт, сертификат на пребр. инвентаря); 2. Первенство СШ п/футзалу среди мальчиков, юношей с 24 по 28 марта 2025 - 19,83 (медали, кубки, призы, фотобумага); 3. Перв-во Усть-Аб. СШ п/волейболу среди девочек 29 марта 2025 - 8,55 (медали, кубки, призы); 4. Открытый тур-р п/футзалу среди девочек, посв.80-летию Победы в ВОВ 12 апр. 2025 - 7,19 (медали, кубки, призы); 5. Командный тур-р Усть-Аб. СШ п/наст. теннису, посв.80-летию Победы в ВОВ 5 апр. 2025 - 3,94 (медали, кубки); 6. Открытый тур-р Усть-Аб. р-на п/рукопашному бою "Кубок Гагарина" 12-13 апр. 2025 - 3,97 (кубки); 7. Открытый тур-р п/футзалу среди девочек, посв.80-летию Победы в ВОВ 12 апр. 2025 - 7,6 (баннер); 8. Празднование 80-летия Победы в ВОВ - 39,0 (футболки с логотипом); 9. Открытое лично-командное перв-во п/русским шашкам среди дошкольников, посв.80-летию Победы в ВОВ 16 апр. 2025 - 5,36 (медали, кубки, фотобумага); 10. Спартакиада ВФСК "ГТО" среди воспитанников ДОУ У-А р-на - 5,52 (медали, кубки); 11. Празднование 80-летней годовщины Победы в ВОВ - 27,0 (баннер, гирлянда из шаров, конст-ия из пенопласта, медали); 12. Тур-р У-А СШ п/волейболу среди девочек "Кубок Победы" - 3,6 (кубки, призы, фотобумага); 13. Открытый тур-р п/хоккею с мячом на Кубок Главы Усть-Абаканского р-на - 4,0 (однор. посуда); 14.Спорт. мер-ие "Футбольный марафон Победы. Битва поколений" - 2,91 (медали, фотобумага); 15. Откр. спорт. фестиваль хак. нар. игр и сост-й "Ынархас Ойыннары"(Игры Дружбы) - 30,19 (медали);                                                                                                                             </t>
    </r>
  </si>
  <si>
    <t>УСЗ. 1. Фестиваль наст. и спорт. игр среди лиц с ОВЗ и граждан стар. поколения в МО Домож. сельсовет - 3,51 (медали); 2. Отк. тур-р п/футзалу среди муж.команд, посв. памяти воинов-земляков, погибших в ходе СВО - 14,92 (медали, кубки, призы); 3. Тур-р п/дартцу среди орг-ий Усть-Абаканского р-на, посв.80-летию Победы в ВОВ - 12,22 (медали, статуэтки); 4. Тур-р п/футзалу - 16,91 (медали, кубки, призы); 5. Тур-р п/керлингу - 5,55; 6. Тур-р п/греко-римской борьбе - 5,1; 7. Откр. спартакиада Райковского сельсовета У-А р-на РХ п/конному спорту, посв.80-летию Победы в ВОВ - 9,54 (инф. баннер); 8. Празднование 80-летней годовщины Победы в ВОВ - 20,0 (баннер, переносная стойка); 9. Тур-р п/футболу, посвящ. И.Е. Иванову - 11,42 (медали, кубки, призы); 10. День российского предпринимателя - 9,73 (медали, кубки, призы); 11. Соревнования, посвящ. Междун. Дню семьи - 1,56 (медали, кубки, призы); 12. Турнир п/мини-футболусреди дворовых команд, посвящ. Дню российского флага - 5,0 (призы, медали); 13.кросс нации, турнир по дартцу, турнир по футболу-12,7</t>
  </si>
  <si>
    <r>
      <rPr>
        <b/>
        <sz val="15"/>
        <rFont val="Times New Roman"/>
        <family val="1"/>
        <charset val="204"/>
      </rPr>
      <t>5.Подготовка документов территориального планирования и правил землепользования и застройки - 1159,8 (РХ</t>
    </r>
    <r>
      <rPr>
        <sz val="15"/>
        <rFont val="Times New Roman"/>
        <family val="1"/>
        <charset val="204"/>
      </rPr>
      <t>), в том числе:                                                                                                                                                                                                                   ^Работы по разработке проектов и внесения изменений в документы тер.планирования - 605,6;                                                              ^Работы по описанию местности границ тер.зон - 554,2.</t>
    </r>
  </si>
  <si>
    <r>
      <t>1.Мероприятия по обеспечению сохранности существующей сети автомобильных дорог общего пользования местного значения - 31629,00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1. 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района РХ - 2550,25;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Ремонт автомобильных дорог - 5,7 км (28 663,63), в том числе: Ремонт автомобильной дороги ул. Механизаторская аал Доможаков Усть-Абаканского района Республики Хакасия ( 769,6), ремонт автомобильной дороги с. Зеленое - д. Заря Усть-Абаканского муниципального района Республики Хакасия на участке км 2+940 - км 3+900 (3 889,8)(0,96 км); Ремонт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9+600 - км 13+800(10 657,74) (4,2км);  Ремонт автомобильной дороги с.Зеленое - д. Заря Усть-Абаканского муниципального района Республики Хакасия на участке км 2+400- км 2+940 ( 2 462 ,31) (0,54 км);  Выполнение работ по ремонту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0+000 - км 4+350 ( 7 039,13 арбитраж);  Ремонт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4+350 - км 6+156( 3 845,05);                                                                                                                                                   3. Установка дорожных знаков - 415,12.</t>
    </r>
  </si>
  <si>
    <r>
      <rPr>
        <b/>
        <i/>
        <sz val="15"/>
        <rFont val="Times New Roman"/>
        <family val="1"/>
        <charset val="204"/>
      </rPr>
      <t xml:space="preserve">1.2. «Капитальный ремонт в муниципальных учреждениях, в том числе проектно-сметная документация»- 1638,2 (МБ):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1.Экспертиза  сметной стоимости на капитальный ремонт дымовой трубы котельной, расположенной по адресу: Республика Хакасия, Усть-Абаканский район, с. Вершино-Биджа, ул. Полевая, д. 1А  - 34,6;                                                                                           2. Текущий ремонт напорного канализационного коллектора, расположенного в районе земельного участка по адресу: п. Тепличный, ул. Совхозная 1.1; исследование металла для определения марки стали металлической трубы котельной а. Чарков, а. Доможакав; техническое обследование строительных конструкций зданий котельных а. Чарков, а. Доможаков, с. Вершино-Биджа - 1274,9;                                                                                                                                                                                                                                3. Выполнение работ по составлению паспортов металлических дымовых труб котельных в аал Чарков, аал Доможаков Усть-Абаканского муниципального района Республики Хакасия- 80,0;                                                                                              4.Осуществление строительного контроля за выполнением работ по капитальному ремонту системы теплоснабжения села Солнечное Усть-Абаканского района Республики Хакасия; Осуществление строительного контроля за выполнением работ по капитальному ремонту системы теплоснабжения села Солнечное Усть-Абаканского района Республики Хакасия. 2 этап -152,7;                                                                                                                                              5.   Выполнение работ по разработке проекта зоны санитарной охраны (ЗСО) для подземного водозабора с. Весеннее Усть-Абаканского района РХ -96,00.                                                                                                                                                                     </t>
    </r>
  </si>
  <si>
    <r>
      <t xml:space="preserve">Включение детей и молодежи в общественную деятельность патриотической направленности.                                                                               Мероприятия, направленные на патриотическое воспитание граждан - 752,1 (МБ), из них:                                                                                     </t>
    </r>
    <r>
      <rPr>
        <sz val="15"/>
        <rFont val="Times New Roman"/>
        <family val="1"/>
        <charset val="204"/>
      </rPr>
      <t>1. Турнир по каратэ (призы)-10,8 ; конкурс военно-патриотической песни (призы) - 20,00 ; Спартакиада молодежи допризывного возраста (подар. сертификаты 52,31 (349), пули для пневматики-2,0 (346), пули, дымовые шашки, пулеметная лента, петарды-9,08 (346), кубки и медали-10,47 (349), продукты-9,79 (342), посуда и скатерть-7,15 (346) (УКМПСТ)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"Юнармейцы в юбках" - 12,76;  подарочные сертификаты - 171,0; медали, кубки, дипломы - 73,4, пошив костюмов ( 9 мая) - 216,0; "Зарница", Организация питания участников спортивной игры  - 30,0 ; награждение - 27,85 ; приобретение ж/д билетов  и питания для участников всероссийского конкурса " Зарница" - 80,0 .                                                                                                                                                                                    3. Военно-полевые сборы: организация питания - 11,00 , награждение - 8,49 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</si>
  <si>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- 145065,43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труда-142 979,3, услуги связи-135,7, прочие услуги- 782,8, приобретение основных средств- 264,9, приобретение мат.запасов- 902,73.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</si>
  <si>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- 626904,43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труда-617 578,9, услуги связи - 98,5; прочие услуги- 2 155,5, приобретение основных средств- 4 273,3, приобретение мат.запасов - 2 798,23. </t>
    </r>
  </si>
  <si>
    <r>
      <t xml:space="preserve">6.Реализация мероприятий по развитию общеобразовательных организаций- 4152,80 (РХ)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кровли Сапоговская СОШ - 1 871,9;  кап.ремонт-замена окон Сапоговская СОШ - 841,5, монтаж видеонаблюдения: Усть-Абаканская СОШ - 965,5,  Чапаевская СОШ - 181,7,  монтаж наружного освещени Калининская СОШ - 292,2.</t>
    </r>
  </si>
  <si>
    <r>
      <rPr>
        <b/>
        <i/>
        <sz val="15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36117,90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361,2 (МБ), 357,6 (РХ), 35399,1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</si>
  <si>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t xml:space="preserve">7.Организация школьного питания - 6102,81, из них: 3182,6 (МБ), 2920,21 (РХ).         </t>
  </si>
  <si>
    <t>3.Обеспечение услугами связи в части предоставления широкополосного доступа к сети «Интернет» социально значимых объектов муниципальных образований - 88,9 (РХ).</t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</si>
  <si>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- 1382,7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- 3,3; 2. Квест "За оборону Сталинграда" - 1,14; 3. Квест "1941 Заполярье" - 3,0; 4. Возложение к могиле неизв. солдата - 4,2; 5. Выставка "Герои наших дней" - 49,0; 6. Мастер-класс "Эскадрилья" - 1,6; 7. Интеллект. квиз "День защитника Отечества" - 3,0; 8. Интеллект. квиз "Дамская территория" - 2,7;                                                 9. Мероприятие "Широкая Масленица" - 3,0; 10. Республ. национ. праздник "Чыл Пазы" - 2,03  11. Всероссийский день заботы о памятниках - 5,0; 12. Работа по проведению государственной историко-культурной экспертизы - 90,0; 13. Музейный праздник "История возникновения пасхи" - 2,01; 14. Стеллы с именами участников СВО - 300,0; 15. Мемориальная доска со списком участников ВОВ - 45,0; 16. Празднование 80-летней годовщины Победы в ВОВ - 585,7; 17. Встреча "Горькая правда Чернобыля" с ликвидаторами аварии на ЧАЭС - 2,0; 18. Оформление планшетной фотовыставки "Награды Победы" - 1,91; 19. Мастер-класс "Магнит своими руками" - 2,14; 20. Всероссийский районный квест "Наша Победа" - 2,61; 21. Мероприятие, посвящ. Дню памяти и скорби - 16,5; 22. Акция "Россия в сердце-навсегда", посвящ. Дню России - 2,0; 23. Проведение мероприятий - 21,0; 24. Мероприятие, посвящ. Дню военно-морского флота - 11,64; 25. Мероприятия, посвящ. Дню воздушно-десантных войск - 9,0; 26. Акция ""Мой флаг-моя гордость!" - 2,0; 27. Квест "История нашего поселка - 5,0, 28. квест "Юный турист" - 5,0, 29. Мероприятие ко Дню солидарности в борьбе с терроризмом "Терроризм-угроза обществу" - 2,0;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</si>
  <si>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учреждений(ДШИ)- 20370,8 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(ст.211,266) - 14597,66; 2. Начисления на выплаты по оплате труда (ст.213) - 4394,7; 3. Услуги связи (ст.221) - 14,71; 4. Коммунальные услуги (ст.223) - 845,15; 5. Услуги по содержанию имущества (ст.225) - 46,69; 6. Прочие работы, услуги (ст.226) - 367,51 (работы по сбору и обобщению инф-ии-5,0, ведение цент. круглосуточного видеонаблюдения-6,0, оказание охранных услуг-265,35, сопровождение сайта-11,6; ЭС "Образование-52,0; обучение по пожар. проф-ке-10,6; программа VipNet-16,96); 7. Прочие расходы (ст.290) - 3,1; 8. Увеличение стоимости основных средств (ст.310) - 73,7; 9. Остаток на счете - 27,58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</si>
  <si>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 xml:space="preserve">8.Укрепление материально технической базы кабинетов хакасского языка в муниципальных общеобразовательных организациях - 20,0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 для кабинета хакасского языка Чарковская СОШИ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</si>
  <si>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- 30790,29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19648,79; 2. Пособие по врем. нетруд. (266) - 26,24; 3. Начисления на выплаты по оплате труда (ст.213) — 5872,37; 4. Услуги связи (ст.221) — 140,43; 5. Коммунальные услуги (ст.223) — 2201,32; 6. Работы, услуги по содержанию имущества (ст.225) — 789,02; 7. Прочие работы, услуги (ст.226) — 572,07 (услуги механика-107,92, ТО оборудования-45,0, обучение-15,5, предрейс.осмотр водителей-20,40, медосмотр сотрудника-6,31; услуги ТО ОС-202,99, услуги по адаптации программ ККТ-7,3, доступ к приложению ЭВОТОР-2,47, права на исп. программ в сист управ.сайтом-8,0, ЭС "Культура"-34,36, антивир.программа-4,3, Пушкинская карта-20,7, техосмотр автомобилей, запчасти-3,6; база данных "Охрана труда"-18,02; утилизация-11,15; услуги по технич.состоянию комп., организ. техники-29,05; охрана-35,0); 8. Увеличение стоимости ГСМ (ст.343) — 242,94; 9. Увеличение стоимости строительных материалов (ст.344) - 10,98; 10. Увеличение стоимости прочих оборотных запасов (ст.346) — 388,23 (канц. и хоз.товары); 11. Страхование (ст.227) —24,06; 12. Увеличение стоимости основных средств (ст.310) — 501,12; 13. Налоги, сборы  прочие (290) - 282,44; 14. Остаток на счете - 90,28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</si>
  <si>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- 208,9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ДК: 1. Республиканский национальный праздник "Чыл Пазы" - 20,1, 2.Республиканский праздник "Уртун Тойы" -19,9.                                                                                                                                                                                                                                                                                        РДК: 1. Республиканский национальный праздник "Чыл Пазы" - 45,4; 2. Краевой смотр-конкурс исполнителей народной песни "Сибирская глубинка" г. Красноярск ансамбль "Добро" - 3,5; 3. Всероссийский фольклорный фестиваль конкурса ""Казачий круг" - 23,5; 4. Республиканский праздник "Уртун Тойы" -58,5; 5. Районный конкурс среди девочек Абахай-2025" - 8,0.                                                                                                                                                                                                                                                                                                                                                        ЦБС: комплектование книжных фондов-30,0.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</si>
  <si>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- 13012,10 (МБ):                                                                                              </t>
    </r>
    <r>
      <rPr>
        <sz val="15"/>
        <rFont val="Times New Roman"/>
        <family val="1"/>
        <charset val="204"/>
      </rPr>
      <t>1. Вершино-Биджинский сельсовет -145,52 (содержание автомобильных дорог -74,94, разметка -70,58);                                                                                             2. Московский сельсовет - 225,04 (содержание автомобильных дорог - 107,01, разметка -118,03);                                                                                                                  3. Доможаковский сельсовет - 779,8 (содержание автомобильных дорог- 109,91, Выполнение работ по обустройству пешеходного перехода в районе МБОУ "Доможаковская СОШ им. Н.Г. Доможакова", расположенного по адресу: Республика Хакасия, Усть-Абаканский район, аал Доможаков, ул. Механизаторская, 53В - 327,22, Выполнение работ по ремонту автомобильной дороги, расположенной по адресу: Республика Хакасия, Усть-Абаканский район, п.Оросительный, ул. Школьная - 342,67 (0,143 км));                                                                                                                                                                                                                                                        4. Усть-Бюрский сельсовет - 3010,4 (содержание автомобильных дорог 58,22; ремонт автомобильных дорог- 1 543,74; с. Усть-Бюр пер. Горный, проезд Фермерский, улица Ферма №4, улица Трактовая, улица Титова);  ямочный ремонт -  211,72; установка дорожных знаков -  86,62; разметка - 291,21, Выполнение работ по обустройству пешеходного перехода в районе д/с "Елочка" - 599,79;  Выполнение работ по обустройству тротуара  в районе Усть-Бюрской врачебной амбулатории -  219,10.                                                                                                                                                                                  5. Чарковский сельсовет - 682,94 (содержание автомобильных дорог-21,47, Обустройство пешеходного перехода в аале Чарков по ул. Ленина - 661,47);                                                                                                                                                                                                                                                                             6. Калининский сельсовет - 7569,6 (ремонт проезда к детскому саду по ул. Советская в д. Чапаево - 1 176,87, ремонт тротуара по ул. Мира в д.т Чапаево - 4 356,55, ремонт автомобильной дороги ул. Зеленая Роща в д. Чапаево - 1 731,85,  ремонт автомобильной дороги ул. Живописная с. Калинино - 304,33);                                                                  7.Опытненский сельсовет - 598,8 (ремонт автомобильной дороги по ул. Сибирская в с. Зеленое)</t>
    </r>
  </si>
  <si>
    <r>
      <rPr>
        <b/>
        <sz val="15"/>
        <rFont val="Times New Roman"/>
        <family val="1"/>
        <charset val="204"/>
      </rPr>
      <t>2. Выравнивание бюджетной обеспеченности  бюджетов муниципальных образований Усть-Абаканского района -143588,3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^Дотации на выравнивание бюджетной обеспеченности поселений - 143588,3.                                                            </t>
    </r>
  </si>
  <si>
    <r>
      <t>2.</t>
    </r>
    <r>
      <rPr>
        <b/>
        <sz val="15"/>
        <rFont val="Times New Roman"/>
        <family val="1"/>
        <charset val="204"/>
      </rPr>
      <t xml:space="preserve">«Региональный проект «Модернизация коммунальной инфраструктуры»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2.1 «Реализация мероприятий по модернизации коммунальной инфраструктуры (в том числе софинансирование с республиканским </t>
    </r>
    <r>
      <rPr>
        <b/>
        <sz val="15"/>
        <rFont val="Times New Roman"/>
        <family val="1"/>
        <charset val="204"/>
      </rPr>
      <t xml:space="preserve">бюджетом) » - 6092,0, из них 61,0 (МБ),60,3 (РХ), 5970,7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системы теплоснабжения села Солнечное Усть-Абаканского района РХ - 6092,0.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</si>
  <si>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2410,3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</si>
  <si>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- 10868,5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10305,6 (МБ),   562,9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- 10199,5;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-30,0;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- 26,9;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- 49,2 (3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562,9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</si>
</sst>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0" fontId="31" fillId="0" borderId="10" xfId="0" applyFont="1" applyFill="1" applyBorder="1" applyAlignment="1">
      <alignment horizontal="left" vertical="center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Border="1" applyAlignment="1">
      <alignment vertical="top"/>
    </xf>
    <xf numFmtId="2" fontId="31" fillId="0" borderId="9" xfId="0" applyNumberFormat="1" applyFont="1" applyFill="1" applyBorder="1" applyAlignment="1">
      <alignment horizontal="left" vertical="center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22" xfId="0" applyFont="1" applyFill="1" applyBorder="1" applyAlignment="1">
      <alignment horizontal="left" vertical="center"/>
    </xf>
    <xf numFmtId="165" fontId="31" fillId="0" borderId="10" xfId="0" applyNumberFormat="1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33" fillId="0" borderId="8" xfId="0" applyNumberFormat="1" applyFont="1" applyFill="1" applyBorder="1" applyAlignment="1">
      <alignment horizontal="left" vertical="top" wrapText="1"/>
    </xf>
    <xf numFmtId="2" fontId="31" fillId="0" borderId="0" xfId="0" applyNumberFormat="1" applyFont="1" applyFill="1" applyBorder="1" applyAlignment="1">
      <alignment horizontal="left" vertical="center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vertical="top" wrapText="1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0" fontId="31" fillId="0" borderId="1" xfId="0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center" vertical="top" wrapText="1"/>
    </xf>
    <xf numFmtId="167" fontId="31" fillId="0" borderId="12" xfId="0" applyNumberFormat="1" applyFont="1" applyFill="1" applyBorder="1" applyAlignment="1">
      <alignment horizontal="center" vertical="top"/>
    </xf>
    <xf numFmtId="2" fontId="31" fillId="0" borderId="21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vertical="top" wrapText="1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vertical="top" wrapTex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/>
    </xf>
    <xf numFmtId="164" fontId="32" fillId="0" borderId="9" xfId="0" applyNumberFormat="1" applyFont="1" applyFill="1" applyBorder="1" applyAlignment="1">
      <alignment vertical="top"/>
    </xf>
    <xf numFmtId="0" fontId="32" fillId="0" borderId="8" xfId="0" applyFont="1" applyFill="1" applyBorder="1" applyAlignment="1">
      <alignment vertical="top" wrapText="1"/>
    </xf>
    <xf numFmtId="0" fontId="35" fillId="0" borderId="8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165" fontId="34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2" fillId="0" borderId="5" xfId="0" applyNumberFormat="1" applyFont="1" applyFill="1" applyBorder="1" applyAlignment="1">
      <alignment vertical="top" wrapText="1"/>
    </xf>
    <xf numFmtId="0" fontId="32" fillId="0" borderId="5" xfId="0" applyFont="1" applyFill="1" applyBorder="1" applyAlignment="1">
      <alignment horizontal="left" vertical="top" wrapTex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8" xfId="0" applyFont="1" applyFill="1" applyBorder="1" applyAlignment="1">
      <alignment horizontal="left" vertical="top" wrapTex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165" fontId="33" fillId="0" borderId="5" xfId="0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horizontal="center" vertical="top"/>
    </xf>
    <xf numFmtId="165" fontId="31" fillId="0" borderId="12" xfId="0" applyNumberFormat="1" applyFont="1" applyFill="1" applyBorder="1" applyAlignment="1">
      <alignment vertical="top" wrapText="1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10" xfId="0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49" fontId="31" fillId="0" borderId="7" xfId="0" applyNumberFormat="1" applyFont="1" applyFill="1" applyBorder="1" applyAlignment="1">
      <alignment horizontal="center" vertical="top"/>
    </xf>
    <xf numFmtId="165" fontId="31" fillId="0" borderId="11" xfId="0" applyNumberFormat="1" applyFont="1" applyFill="1" applyBorder="1" applyAlignment="1">
      <alignment vertical="top" wrapText="1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6" xfId="0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5" fontId="32" fillId="0" borderId="6" xfId="0" applyNumberFormat="1" applyFont="1" applyFill="1" applyBorder="1" applyAlignment="1">
      <alignment vertical="top" wrapText="1"/>
    </xf>
    <xf numFmtId="0" fontId="31" fillId="0" borderId="22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8" xfId="0" applyNumberFormat="1" applyFont="1" applyFill="1" applyBorder="1" applyAlignment="1">
      <alignment vertical="top"/>
    </xf>
    <xf numFmtId="0" fontId="31" fillId="0" borderId="2" xfId="0" applyFont="1" applyFill="1" applyBorder="1" applyAlignment="1">
      <alignment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0" fontId="32" fillId="0" borderId="10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165" fontId="33" fillId="0" borderId="6" xfId="0" applyNumberFormat="1" applyFont="1" applyFill="1" applyBorder="1" applyAlignment="1">
      <alignment vertical="top" wrapText="1"/>
    </xf>
    <xf numFmtId="49" fontId="31" fillId="0" borderId="5" xfId="0" applyNumberFormat="1" applyFont="1" applyFill="1" applyBorder="1" applyAlignment="1">
      <alignment horizontal="center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5" fontId="32" fillId="0" borderId="8" xfId="0" applyNumberFormat="1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0" fontId="32" fillId="0" borderId="7" xfId="0" applyFont="1" applyFill="1" applyBorder="1" applyAlignment="1">
      <alignment horizontal="left" vertical="top" wrapText="1"/>
    </xf>
    <xf numFmtId="165" fontId="31" fillId="0" borderId="4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4" fontId="9" fillId="0" borderId="9" xfId="0" applyNumberFormat="1" applyFont="1" applyFill="1" applyBorder="1" applyAlignment="1">
      <alignment horizontal="center" vertical="center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  <xf numFmtId="0" fontId="31" fillId="0" borderId="0" xfId="0" applyFont="1" applyFill="1" applyAlignment="1"/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6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4" fontId="31" fillId="0" borderId="9" xfId="0" applyNumberFormat="1" applyFont="1" applyFill="1" applyBorder="1" applyAlignment="1">
      <alignment horizontal="center" vertical="center"/>
    </xf>
    <xf numFmtId="165" fontId="31" fillId="0" borderId="8" xfId="0" applyNumberFormat="1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12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0" fontId="31" fillId="0" borderId="21" xfId="0" applyFont="1" applyFill="1" applyBorder="1" applyAlignment="1">
      <alignment horizontal="left" vertical="top"/>
    </xf>
    <xf numFmtId="4" fontId="31" fillId="0" borderId="12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5" fontId="31" fillId="0" borderId="7" xfId="0" applyNumberFormat="1" applyFont="1" applyFill="1" applyBorder="1" applyAlignment="1">
      <alignment horizontal="center" vertical="top"/>
    </xf>
    <xf numFmtId="165" fontId="31" fillId="0" borderId="1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07" t="s">
        <v>92</v>
      </c>
      <c r="B1" s="607"/>
      <c r="C1" s="607"/>
      <c r="D1" s="607"/>
      <c r="E1" s="607"/>
      <c r="F1" s="607"/>
      <c r="G1" s="607"/>
      <c r="H1" s="607"/>
      <c r="I1" s="607"/>
      <c r="J1" s="607"/>
      <c r="K1" s="607"/>
      <c r="L1" s="607"/>
    </row>
    <row r="2" spans="1:17" ht="34.5" customHeight="1">
      <c r="A2" s="607" t="s">
        <v>106</v>
      </c>
      <c r="B2" s="607"/>
      <c r="C2" s="607"/>
      <c r="D2" s="607"/>
      <c r="E2" s="607"/>
      <c r="F2" s="607"/>
      <c r="G2" s="607"/>
      <c r="H2" s="607"/>
      <c r="I2" s="607"/>
      <c r="J2" s="607"/>
      <c r="K2" s="607"/>
      <c r="L2" s="607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08" t="s">
        <v>17</v>
      </c>
      <c r="B4" s="608" t="s">
        <v>18</v>
      </c>
      <c r="C4" s="610" t="s">
        <v>19</v>
      </c>
      <c r="D4" s="611"/>
      <c r="E4" s="611"/>
      <c r="F4" s="612"/>
      <c r="G4" s="610" t="s">
        <v>0</v>
      </c>
      <c r="H4" s="611"/>
      <c r="I4" s="611"/>
      <c r="J4" s="612"/>
      <c r="K4" s="613" t="s">
        <v>86</v>
      </c>
      <c r="L4" s="608" t="s">
        <v>20</v>
      </c>
      <c r="M4" s="5" t="s">
        <v>88</v>
      </c>
      <c r="P4" s="72"/>
    </row>
    <row r="5" spans="1:17" s="5" customFormat="1" ht="28.5" customHeight="1">
      <c r="A5" s="609"/>
      <c r="B5" s="609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14"/>
      <c r="L5" s="609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05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05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05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05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21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21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05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05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05"/>
    </row>
    <row r="81" spans="1:16" ht="322.5" customHeight="1">
      <c r="A81" s="21" t="s">
        <v>31</v>
      </c>
      <c r="B81" s="624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25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25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25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25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25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25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25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15"/>
      <c r="C90" s="617"/>
      <c r="D90" s="617"/>
      <c r="E90" s="619"/>
      <c r="F90" s="617"/>
      <c r="G90" s="617"/>
      <c r="H90" s="617"/>
      <c r="I90" s="617"/>
      <c r="J90" s="617"/>
      <c r="K90" s="634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16"/>
      <c r="C91" s="618"/>
      <c r="D91" s="618"/>
      <c r="E91" s="620"/>
      <c r="F91" s="618"/>
      <c r="G91" s="618"/>
      <c r="H91" s="618"/>
      <c r="I91" s="618"/>
      <c r="J91" s="618"/>
      <c r="K91" s="635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30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31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22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23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23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23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26" t="s">
        <v>49</v>
      </c>
      <c r="B131" s="628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27"/>
      <c r="B132" s="629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32" t="s">
        <v>54</v>
      </c>
      <c r="B141" s="633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06" t="s">
        <v>110</v>
      </c>
      <c r="B153" s="606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78:P80"/>
    <mergeCell ref="A141:B141"/>
    <mergeCell ref="H90:H91"/>
    <mergeCell ref="I90:I91"/>
    <mergeCell ref="J90:J91"/>
    <mergeCell ref="K90:K91"/>
    <mergeCell ref="F90:F91"/>
    <mergeCell ref="G90:G91"/>
    <mergeCell ref="R97:R100"/>
    <mergeCell ref="B81:B88"/>
    <mergeCell ref="A131:A132"/>
    <mergeCell ref="B131:B132"/>
    <mergeCell ref="P95:P96"/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36" t="s">
        <v>92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26" ht="34.5" customHeight="1">
      <c r="A2" s="636" t="s">
        <v>222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37" t="s">
        <v>17</v>
      </c>
      <c r="B4" s="637" t="s">
        <v>18</v>
      </c>
      <c r="C4" s="639" t="s">
        <v>19</v>
      </c>
      <c r="D4" s="640"/>
      <c r="E4" s="640"/>
      <c r="F4" s="641"/>
      <c r="G4" s="639" t="s">
        <v>0</v>
      </c>
      <c r="H4" s="640"/>
      <c r="I4" s="640"/>
      <c r="J4" s="641"/>
      <c r="K4" s="642" t="s">
        <v>211</v>
      </c>
      <c r="L4" s="637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38"/>
      <c r="B5" s="638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643"/>
      <c r="L5" s="638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44">
        <f>M7+M9+M10+M11+M12+M13+M14+M16</f>
        <v>21214.799999999999</v>
      </c>
      <c r="O7" s="647">
        <f>124+19.3+165.3+19.3+120.9+200+182.6+220+220+183.4+183.4+120.9+111.8+742.3+800+27.9+200+183.4+3.1+20</f>
        <v>3847.6000000000004</v>
      </c>
      <c r="P7" s="649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45"/>
      <c r="O8" s="648"/>
      <c r="P8" s="650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45"/>
      <c r="O9" s="340">
        <f>35.7+815.5</f>
        <v>851.2</v>
      </c>
      <c r="P9" s="650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45"/>
      <c r="O10" s="273">
        <f>94.7+3173.5</f>
        <v>3268.2</v>
      </c>
      <c r="P10" s="651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45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45"/>
      <c r="O12" s="353">
        <f>6546.3+109.7+128.5+2033.7+114.6+64.6+126.8+3.2+4.5+247.1+1426.6+11.9+5.1</f>
        <v>10822.600000000002</v>
      </c>
      <c r="P12" s="649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45"/>
      <c r="O13" s="340">
        <v>195</v>
      </c>
      <c r="P13" s="650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45"/>
      <c r="O14" s="273">
        <f>732.3+221.2+2863.1+125+4.1+112.5+131.3+5.5+0.2</f>
        <v>4195.2</v>
      </c>
      <c r="P14" s="651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45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46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52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45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45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45"/>
      <c r="O22" s="653">
        <f>106+199.1+122.1+138.32+22.75+23.44+112.27+168.57+130+55+37.9+8+13+7.8+4+122.4+53.84+40+2510.2+165.44+80.98+35+154.2+13.6+12.3+597.85+1133.3+1410.6+5+5+52.45+167.91+24.24+21.73+50.2+96.6</f>
        <v>7901.09</v>
      </c>
      <c r="P22" s="654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45"/>
      <c r="O23" s="653"/>
      <c r="P23" s="654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45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45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45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45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45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45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45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45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45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55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45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55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45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55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45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45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45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45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45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45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45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45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45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45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45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45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45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45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44">
        <f>M58+M59+M60+M63+M64+M62</f>
        <v>49262</v>
      </c>
      <c r="O58" s="287">
        <f>14839.58+52.96+259.32+193.83+81.02+7.84+95.59</f>
        <v>15530.14</v>
      </c>
      <c r="P58" s="656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45"/>
      <c r="O59" s="340">
        <f>15408+17.92+680.29+87.94+149.57+0.6+389.53+22.15+1125.9</f>
        <v>17881.900000000001</v>
      </c>
      <c r="P59" s="657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45"/>
      <c r="O60" s="340">
        <f>28474.84+27.26+880.59+337.67+770.05+128.51+912.06+793.87+1837.17</f>
        <v>34162.019999999997</v>
      </c>
      <c r="P60" s="657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45"/>
      <c r="O61" s="340"/>
      <c r="P61" s="657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45"/>
      <c r="O62" s="340">
        <f>566.2+8.5+50+2.5</f>
        <v>627.20000000000005</v>
      </c>
      <c r="P62" s="657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45"/>
      <c r="O63" s="340">
        <f>81.19+45+214.35</f>
        <v>340.53999999999996</v>
      </c>
      <c r="P63" s="657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46"/>
      <c r="O64" s="273">
        <f>6597.4+6.5+5.4+188.6+54.9</f>
        <v>6852.7999999999993</v>
      </c>
      <c r="P64" s="658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59" t="s">
        <v>28</v>
      </c>
      <c r="B68" s="624" t="s">
        <v>83</v>
      </c>
      <c r="C68" s="662">
        <v>5742.7</v>
      </c>
      <c r="D68" s="662">
        <v>387.3</v>
      </c>
      <c r="E68" s="664"/>
      <c r="F68" s="666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68">
        <f>O68+O69</f>
        <v>5850.7999999999993</v>
      </c>
      <c r="Q68" s="649">
        <f>J68-P68</f>
        <v>0</v>
      </c>
    </row>
    <row r="69" spans="1:17" s="244" customFormat="1" ht="126.75" customHeight="1">
      <c r="A69" s="660"/>
      <c r="B69" s="661"/>
      <c r="C69" s="663"/>
      <c r="D69" s="663"/>
      <c r="E69" s="665"/>
      <c r="F69" s="667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69"/>
      <c r="Q69" s="670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44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71">
        <f>1.5+27.08+10+35.78+384.4+34.9+8.1+9.84+4.31+150+4+7+3+6.65+6.96+37.52+4.42+9.9+17.92+3+10.45+25+10.39</f>
        <v>812.11999999999989</v>
      </c>
      <c r="N72" s="645"/>
      <c r="O72" s="671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71"/>
      <c r="N73" s="645"/>
      <c r="O73" s="671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72" t="s">
        <v>321</v>
      </c>
      <c r="M74" s="671">
        <f>1.5+19+4.75+9.74+9.94+3.6+43.83+180.03+138+45.67+129.1+15.81+16.84+6+11.3+10.56+10.39+7.28+73.51+2.5+5+751.26+2.85+70.25+142.64+30.53</f>
        <v>1741.8799999999994</v>
      </c>
      <c r="N74" s="645"/>
      <c r="O74" s="671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72"/>
      <c r="M75" s="671"/>
      <c r="N75" s="645"/>
      <c r="O75" s="671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45"/>
      <c r="O76" s="671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45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46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73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74"/>
      <c r="O83" s="648">
        <f>26.5+31.34+50+9.37+30+524.58+0.83+234.4+7.3+91.5+93.9+77.8+4.08+4.59+200+39.99+35.96+14.71+11.97+43.54+144.38+108.2+34.1+61.8+37.03+1012.8+11.93+72.8</f>
        <v>3015.3999999999996</v>
      </c>
      <c r="P83" s="654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74"/>
      <c r="O84" s="648"/>
      <c r="P84" s="654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74"/>
      <c r="O85" s="252">
        <v>217.8</v>
      </c>
      <c r="P85" s="654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74"/>
      <c r="O86" s="252">
        <f>951.1+19.4</f>
        <v>970.5</v>
      </c>
      <c r="P86" s="654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74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74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74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71">
        <f>3.46+13+2.4+20+4.5+11+50+5.1+10.5+2.1+500+220+32.66+8.85+25+2+22+22+5.4+24.6+8.4+17.03+27.61+1299.96+4.9+23.2+8+5.21+10.6+9.25+50.6</f>
        <v>2449.3299999999995</v>
      </c>
      <c r="N90" s="674"/>
      <c r="O90" s="252">
        <f>3.5+13+2.4+20+4.5+11+50+5.1+10.5+2.1+500+220+32.66+8.85+25+2+22+22+5.4</f>
        <v>960.01</v>
      </c>
      <c r="P90" s="654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71"/>
      <c r="N91" s="674"/>
      <c r="O91" s="671">
        <f>24.6+8.4+17.03+27.61+1299.96+4.9+23.2+8+5.21+10.6+9.25+119.42+9+14+50.25+264+258.32+9+6+5+19.3+3.44+1.5+2.5+2.56+0.04</f>
        <v>2203.0900000000006</v>
      </c>
      <c r="P91" s="654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74"/>
      <c r="O92" s="671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74"/>
      <c r="O93" s="671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75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73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48">
        <f>10+15.25+20+7+113.65+24.6+7+6.1+30+3+7.2+6.1+11.19+3+6+15+3+7.72+15+5.6+96+33.16+109+4.23+10</f>
        <v>568.80000000000007</v>
      </c>
      <c r="N98" s="674"/>
      <c r="O98" s="252">
        <f>10+15.25+20+7+113.65+24.6+4.26+10+14.98+38.75+30+93.97+35+102.66+10.02</f>
        <v>530.14</v>
      </c>
      <c r="P98" s="654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48"/>
      <c r="N99" s="674"/>
      <c r="O99" s="252">
        <f>7+6.1+30+3+7.2+6.1+11.2+3+6+15+3+7.72+15+5.6+96+22.72+109</f>
        <v>353.64</v>
      </c>
      <c r="P99" s="654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48"/>
      <c r="N100" s="674"/>
      <c r="O100" s="252">
        <f>40+10.6+26.04+4.6+13.11+76.6+14.97</f>
        <v>185.92</v>
      </c>
      <c r="P100" s="654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75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73">
        <f>M102+M103</f>
        <v>22512.099999999995</v>
      </c>
      <c r="O102" s="353">
        <f>5157.87+1604.54+9.38+21.84+9.6+410.07+8+1+3.5</f>
        <v>7225.8</v>
      </c>
      <c r="P102" s="649">
        <f>O102+O103</f>
        <v>30588.499999999996</v>
      </c>
      <c r="Q102" s="654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75"/>
      <c r="O103" s="273">
        <f>17006.24+5317.12+77.8+133.57+383.72+8.42+297.1+5.76+5.5+44.43+83.04</f>
        <v>23362.699999999997</v>
      </c>
      <c r="P103" s="651"/>
      <c r="Q103" s="654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80">
        <f>M104+M105</f>
        <v>1616.3999999999999</v>
      </c>
      <c r="O104" s="353">
        <f>1272.52+364.08+20.32+2.4+18.63+6.2+35.5+244.75+139</f>
        <v>2103.4</v>
      </c>
      <c r="P104" s="649">
        <f>O104+O105</f>
        <v>2641.4</v>
      </c>
      <c r="Q104" s="654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81"/>
      <c r="O105" s="333">
        <f>14+2.4+55+38.74+28.8+11.2+50+31.8+37+21+1+89.44+9.8+58.5+25.64+29.67+19+6.6+8.4+0.01</f>
        <v>538</v>
      </c>
      <c r="P105" s="651"/>
      <c r="Q105" s="682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73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74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74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74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74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74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74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74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74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74"/>
      <c r="O115" s="252">
        <f>12+4.56+14.5+30+25.35+9.45+21.76+12.97+8.16+10.29+4.14+8.5+4.05+12.15+6.4</f>
        <v>184.28</v>
      </c>
      <c r="P115" s="655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74"/>
      <c r="O116" s="252"/>
      <c r="P116" s="655"/>
      <c r="Q116" s="343"/>
    </row>
    <row r="117" spans="1:17" s="244" customFormat="1" ht="361.5" customHeight="1">
      <c r="A117" s="221"/>
      <c r="B117" s="615"/>
      <c r="C117" s="676"/>
      <c r="D117" s="676"/>
      <c r="E117" s="678"/>
      <c r="F117" s="676"/>
      <c r="G117" s="676"/>
      <c r="H117" s="676"/>
      <c r="I117" s="676"/>
      <c r="J117" s="676"/>
      <c r="K117" s="683"/>
      <c r="L117" s="12" t="s">
        <v>256</v>
      </c>
      <c r="M117" s="340">
        <f>7.68+5.67+10.2+8.1+4.8+2.56+4+6.35+7.06+3.7+1.5+1.24+5.9+28.89+2.53+4+20.5+26.64</f>
        <v>151.32</v>
      </c>
      <c r="N117" s="674"/>
      <c r="O117" s="252">
        <f>5.67+10.2+8.1+4.8+2.56+4+6.35+7.06+3.7+1.5+1.24+5.9+42.03+2.53+4+20.47+580+7.68</f>
        <v>717.79</v>
      </c>
      <c r="P117" s="655"/>
      <c r="Q117" s="343"/>
    </row>
    <row r="118" spans="1:17" s="244" customFormat="1" ht="221.25" customHeight="1">
      <c r="A118" s="221"/>
      <c r="B118" s="615"/>
      <c r="C118" s="676"/>
      <c r="D118" s="676"/>
      <c r="E118" s="678"/>
      <c r="F118" s="676"/>
      <c r="G118" s="676"/>
      <c r="H118" s="676"/>
      <c r="I118" s="676"/>
      <c r="J118" s="676"/>
      <c r="K118" s="683"/>
      <c r="L118" s="12" t="s">
        <v>257</v>
      </c>
      <c r="M118" s="340"/>
      <c r="N118" s="674"/>
      <c r="O118" s="252">
        <f>6+12.84+20.31+49.84+2.46+3.2+3.6+4.9+7.28+6.02+5.7</f>
        <v>122.15</v>
      </c>
      <c r="P118" s="655"/>
      <c r="Q118" s="343"/>
    </row>
    <row r="119" spans="1:17" s="244" customFormat="1" ht="112.5" customHeight="1">
      <c r="A119" s="222"/>
      <c r="B119" s="616"/>
      <c r="C119" s="677"/>
      <c r="D119" s="677"/>
      <c r="E119" s="679"/>
      <c r="F119" s="677"/>
      <c r="G119" s="677"/>
      <c r="H119" s="677"/>
      <c r="I119" s="677"/>
      <c r="J119" s="677"/>
      <c r="K119" s="684"/>
      <c r="L119" s="148" t="s">
        <v>311</v>
      </c>
      <c r="M119" s="273">
        <f>41803.2+1061.3+771.3</f>
        <v>43635.8</v>
      </c>
      <c r="N119" s="675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44">
        <f>M121+M122</f>
        <v>9880.9</v>
      </c>
      <c r="O121" s="353">
        <f>8011.2+72.5+49+100+649</f>
        <v>8881.7000000000007</v>
      </c>
      <c r="P121" s="668">
        <f>O121+O122</f>
        <v>13505.400000000001</v>
      </c>
      <c r="Q121" s="649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46"/>
      <c r="O122" s="273">
        <v>4623.7</v>
      </c>
      <c r="P122" s="669"/>
      <c r="Q122" s="651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44">
        <f>M123+M124+M125</f>
        <v>85771.5</v>
      </c>
      <c r="O123" s="353">
        <f>11180+36585.3</f>
        <v>47765.3</v>
      </c>
      <c r="P123" s="668">
        <f>O123+O124+O125</f>
        <v>106370.3</v>
      </c>
      <c r="Q123" s="649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45"/>
      <c r="O124" s="340">
        <f>8193.7+205.3+50.2+61.1+103.7+1625.1+171.5+66.4</f>
        <v>10477.000000000002</v>
      </c>
      <c r="P124" s="654"/>
      <c r="Q124" s="689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46"/>
      <c r="O125" s="273">
        <f>29396.3+18731.7</f>
        <v>48128</v>
      </c>
      <c r="P125" s="669"/>
      <c r="Q125" s="670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68">
        <f>O126+O127+O128+O129+O130</f>
        <v>6337.7</v>
      </c>
      <c r="Q126" s="649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54"/>
      <c r="Q127" s="689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54"/>
      <c r="Q128" s="689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54"/>
      <c r="Q129" s="689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69"/>
      <c r="Q130" s="670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90">
        <f>M131+M132+M133+M136</f>
        <v>16259.9</v>
      </c>
      <c r="O131" s="353">
        <f>12780.61+3958.34+234.22+467.32+648.72+951.4+279.52+343.37+22.61+460.92+186.03+40.82+1852.62+560.45</f>
        <v>22786.95</v>
      </c>
      <c r="P131" s="668">
        <f>O131+O132+O133+O134+O135+O136</f>
        <v>27218</v>
      </c>
      <c r="Q131" s="649">
        <f>J131-P131</f>
        <v>9.9999999998544808E-2</v>
      </c>
      <c r="R131" s="695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91"/>
      <c r="O132" s="340">
        <v>141.5</v>
      </c>
      <c r="P132" s="654"/>
      <c r="Q132" s="689"/>
      <c r="R132" s="696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91"/>
      <c r="O133" s="340">
        <f>545+50</f>
        <v>595</v>
      </c>
      <c r="P133" s="654"/>
      <c r="Q133" s="689"/>
      <c r="R133" s="696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91"/>
      <c r="O134" s="340">
        <v>1761.89</v>
      </c>
      <c r="P134" s="654"/>
      <c r="Q134" s="689"/>
      <c r="R134" s="696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91"/>
      <c r="O135" s="340">
        <f>700+14.76+300+150+150+330</f>
        <v>1644.76</v>
      </c>
      <c r="P135" s="654"/>
      <c r="Q135" s="689"/>
      <c r="R135" s="696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92"/>
      <c r="O136" s="273">
        <f>264.1+23.8</f>
        <v>287.90000000000003</v>
      </c>
      <c r="P136" s="669"/>
      <c r="Q136" s="670"/>
      <c r="R136" s="696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49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50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51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44">
        <f>M148+M149+M150+M151+M152+M153+M160</f>
        <v>27789.9</v>
      </c>
      <c r="O148" s="353">
        <f>48.83+276.74+58.04+65.92+50.83+116.02</f>
        <v>616.38</v>
      </c>
      <c r="P148" s="686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45"/>
      <c r="O149" s="340">
        <v>23.4</v>
      </c>
      <c r="P149" s="687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45"/>
      <c r="O150" s="340">
        <f>2000+1796.26+1253.8+0.48+2735.78+1042.85</f>
        <v>8829.17</v>
      </c>
      <c r="P150" s="687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45"/>
      <c r="O151" s="340">
        <f>606.2+195.36+439.69+842.82</f>
        <v>2084.0700000000002</v>
      </c>
      <c r="P151" s="687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45"/>
      <c r="O152" s="340">
        <f>4843.8+7957.8+2775.1+293.8+2100.7+1110.1</f>
        <v>19081.3</v>
      </c>
      <c r="P152" s="687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45"/>
      <c r="O153" s="340">
        <f>99+162.4+56.6+6+42.9+22.6</f>
        <v>389.5</v>
      </c>
      <c r="P153" s="687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45"/>
      <c r="O154" s="273">
        <f>7500+599+517.27+459.09+178.62</f>
        <v>9253.9800000000014</v>
      </c>
      <c r="P154" s="688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45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45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45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45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45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46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73">
        <f>M161+M162+M163+M164+M165+M166+M168+M167</f>
        <v>118895.3</v>
      </c>
      <c r="O161" s="353">
        <f>13433.31+4025.84+30.99+1+158.38+4.1+47.7+79.6+863.32+445.06+90.4+7.2+1.6</f>
        <v>19188.500000000004</v>
      </c>
      <c r="P161" s="656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74"/>
      <c r="O162" s="340">
        <v>122359</v>
      </c>
      <c r="P162" s="657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74"/>
      <c r="O163" s="340">
        <f>7210.49+47.44+181.17+2245.87+84.4+73.36+165.58+62.59+130.35+55.28+5.29+0.88</f>
        <v>10262.700000000001</v>
      </c>
      <c r="P163" s="657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74"/>
      <c r="O164" s="648">
        <f>720.5+771+15</f>
        <v>1506.5</v>
      </c>
      <c r="P164" s="657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48"/>
      <c r="P165" s="657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48"/>
      <c r="P166" s="657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57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58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98" t="s">
        <v>49</v>
      </c>
      <c r="B170" s="624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62">
        <v>3105.1</v>
      </c>
      <c r="H170" s="662">
        <v>648.6</v>
      </c>
      <c r="I170" s="700"/>
      <c r="J170" s="662">
        <f>I170+H170+G170</f>
        <v>3753.7</v>
      </c>
      <c r="K170" s="701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73">
        <f>M170+M171</f>
        <v>2234.1999999999998</v>
      </c>
      <c r="O170" s="353">
        <f>1646.51+367.26+184.4+205.2+610.8+0.4+10.17+2.16+1.5+5.4+71.3</f>
        <v>3105.1000000000004</v>
      </c>
      <c r="P170" s="649">
        <f>O170+O171</f>
        <v>3753.7000000000003</v>
      </c>
      <c r="Q170" s="685">
        <f>J170-P170</f>
        <v>0</v>
      </c>
    </row>
    <row r="171" spans="1:18" s="244" customFormat="1" ht="42" customHeight="1">
      <c r="A171" s="699"/>
      <c r="B171" s="661"/>
      <c r="C171" s="366"/>
      <c r="D171" s="366"/>
      <c r="E171" s="366"/>
      <c r="F171" s="366"/>
      <c r="G171" s="663"/>
      <c r="H171" s="663"/>
      <c r="I171" s="677"/>
      <c r="J171" s="663"/>
      <c r="K171" s="684"/>
      <c r="L171" s="378" t="s">
        <v>344</v>
      </c>
      <c r="M171" s="273">
        <v>471.9</v>
      </c>
      <c r="N171" s="675"/>
      <c r="O171" s="273">
        <v>648.6</v>
      </c>
      <c r="P171" s="651"/>
      <c r="Q171" s="685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49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50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50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51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93" t="s">
        <v>54</v>
      </c>
      <c r="B181" s="694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97" t="s">
        <v>110</v>
      </c>
      <c r="B197" s="697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G117:G119"/>
    <mergeCell ref="H117:H119"/>
    <mergeCell ref="I117:I119"/>
    <mergeCell ref="J117:J119"/>
    <mergeCell ref="K117:K119"/>
    <mergeCell ref="N104:N105"/>
    <mergeCell ref="P104:P105"/>
    <mergeCell ref="Q104:Q105"/>
    <mergeCell ref="N106:N119"/>
    <mergeCell ref="P115:P118"/>
    <mergeCell ref="B117:B119"/>
    <mergeCell ref="C117:C119"/>
    <mergeCell ref="D117:D119"/>
    <mergeCell ref="E117:E119"/>
    <mergeCell ref="F117:F119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Q68:Q69"/>
    <mergeCell ref="N71:N78"/>
    <mergeCell ref="M72:M73"/>
    <mergeCell ref="O72:O73"/>
    <mergeCell ref="L74:L75"/>
    <mergeCell ref="M74:M75"/>
    <mergeCell ref="O74:O76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N7:N16"/>
    <mergeCell ref="O7:O8"/>
    <mergeCell ref="P7:P10"/>
    <mergeCell ref="P12:P14"/>
    <mergeCell ref="N19:N48"/>
    <mergeCell ref="O22:O23"/>
    <mergeCell ref="P22:P23"/>
    <mergeCell ref="P32:P34"/>
    <mergeCell ref="A1:L1"/>
    <mergeCell ref="A2:L2"/>
    <mergeCell ref="A4:A5"/>
    <mergeCell ref="B4:B5"/>
    <mergeCell ref="C4:F4"/>
    <mergeCell ref="G4:J4"/>
    <mergeCell ref="K4:K5"/>
    <mergeCell ref="L4:L5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60"/>
  <sheetViews>
    <sheetView tabSelected="1" view="pageBreakPreview" zoomScale="60" zoomScaleNormal="60" workbookViewId="0">
      <pane ySplit="5" topLeftCell="A94" activePane="bottomLeft" state="frozen"/>
      <selection pane="bottomLeft" activeCell="L90" sqref="L90"/>
    </sheetView>
  </sheetViews>
  <sheetFormatPr defaultColWidth="9.140625" defaultRowHeight="19.5"/>
  <cols>
    <col min="1" max="1" width="7.5703125" style="391" customWidth="1"/>
    <col min="2" max="2" width="36.7109375" style="391" customWidth="1"/>
    <col min="3" max="3" width="17.5703125" style="394" customWidth="1"/>
    <col min="4" max="4" width="17" style="394" customWidth="1"/>
    <col min="5" max="5" width="16.7109375" style="394" customWidth="1"/>
    <col min="6" max="6" width="19.28515625" style="395" customWidth="1"/>
    <col min="7" max="7" width="16.85546875" style="394" customWidth="1"/>
    <col min="8" max="8" width="18.140625" style="394" customWidth="1"/>
    <col min="9" max="9" width="18.85546875" style="394" customWidth="1"/>
    <col min="10" max="10" width="21.5703125" style="395" customWidth="1"/>
    <col min="11" max="11" width="20.85546875" style="487" customWidth="1"/>
    <col min="12" max="12" width="142.7109375" style="391" customWidth="1"/>
    <col min="13" max="13" width="17.140625" style="388" hidden="1" customWidth="1"/>
    <col min="14" max="14" width="18.7109375" style="389" hidden="1" customWidth="1"/>
    <col min="15" max="15" width="27.28515625" style="388" customWidth="1"/>
    <col min="16" max="16" width="29.7109375" style="499" customWidth="1"/>
    <col min="17" max="17" width="30.28515625" style="501" customWidth="1"/>
    <col min="18" max="18" width="29.5703125" style="390" customWidth="1"/>
    <col min="19" max="19" width="35.85546875" style="390" customWidth="1"/>
    <col min="20" max="20" width="14" style="390" customWidth="1"/>
    <col min="21" max="21" width="13.140625" style="390" customWidth="1"/>
    <col min="22" max="22" width="14.85546875" style="390" customWidth="1"/>
    <col min="23" max="23" width="21.85546875" style="390" customWidth="1"/>
    <col min="24" max="24" width="9.140625" style="390"/>
    <col min="25" max="25" width="11" style="390" customWidth="1"/>
    <col min="26" max="26" width="10.7109375" style="390" customWidth="1"/>
    <col min="27" max="29" width="9.140625" style="391"/>
    <col min="30" max="30" width="10.7109375" style="391" customWidth="1"/>
    <col min="31" max="34" width="9.140625" style="391"/>
    <col min="35" max="35" width="10.85546875" style="391" customWidth="1"/>
    <col min="36" max="36" width="13.85546875" style="391" customWidth="1"/>
    <col min="37" max="37" width="11.42578125" style="391" customWidth="1"/>
    <col min="38" max="39" width="9.140625" style="391"/>
    <col min="40" max="40" width="12.42578125" style="391" customWidth="1"/>
    <col min="41" max="69" width="9.140625" style="391"/>
    <col min="70" max="70" width="21.85546875" style="391" customWidth="1"/>
    <col min="71" max="16384" width="9.140625" style="391"/>
  </cols>
  <sheetData>
    <row r="1" spans="1:26" ht="33.75" customHeight="1">
      <c r="A1" s="636" t="s">
        <v>92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</row>
    <row r="2" spans="1:26" ht="34.5" customHeight="1">
      <c r="A2" s="636" t="s">
        <v>376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R2" s="392"/>
    </row>
    <row r="3" spans="1:26" ht="20.25" customHeight="1">
      <c r="A3" s="393"/>
      <c r="B3" s="393"/>
      <c r="K3" s="479"/>
      <c r="L3" s="396" t="s">
        <v>16</v>
      </c>
      <c r="R3" s="392"/>
      <c r="S3" s="392"/>
      <c r="T3" s="392"/>
    </row>
    <row r="4" spans="1:26" s="403" customFormat="1" ht="30" customHeight="1">
      <c r="A4" s="763" t="s">
        <v>17</v>
      </c>
      <c r="B4" s="763" t="s">
        <v>18</v>
      </c>
      <c r="C4" s="765" t="s">
        <v>19</v>
      </c>
      <c r="D4" s="766"/>
      <c r="E4" s="766"/>
      <c r="F4" s="767"/>
      <c r="G4" s="765" t="s">
        <v>0</v>
      </c>
      <c r="H4" s="766"/>
      <c r="I4" s="766"/>
      <c r="J4" s="767"/>
      <c r="K4" s="768" t="s">
        <v>355</v>
      </c>
      <c r="L4" s="763" t="s">
        <v>20</v>
      </c>
      <c r="M4" s="397"/>
      <c r="N4" s="398"/>
      <c r="O4" s="397"/>
      <c r="P4" s="399"/>
      <c r="Q4" s="400"/>
      <c r="R4" s="401"/>
      <c r="S4" s="401"/>
      <c r="T4" s="402"/>
      <c r="U4" s="402"/>
      <c r="V4" s="402"/>
      <c r="W4" s="402"/>
      <c r="X4" s="402"/>
      <c r="Y4" s="402"/>
      <c r="Z4" s="402"/>
    </row>
    <row r="5" spans="1:26" s="403" customFormat="1" ht="28.5" customHeight="1">
      <c r="A5" s="764"/>
      <c r="B5" s="764"/>
      <c r="C5" s="404" t="s">
        <v>21</v>
      </c>
      <c r="D5" s="404" t="s">
        <v>22</v>
      </c>
      <c r="E5" s="404" t="s">
        <v>23</v>
      </c>
      <c r="F5" s="404" t="s">
        <v>24</v>
      </c>
      <c r="G5" s="404" t="s">
        <v>21</v>
      </c>
      <c r="H5" s="404" t="s">
        <v>22</v>
      </c>
      <c r="I5" s="404" t="s">
        <v>23</v>
      </c>
      <c r="J5" s="404" t="s">
        <v>24</v>
      </c>
      <c r="K5" s="769"/>
      <c r="L5" s="764"/>
      <c r="M5" s="397"/>
      <c r="N5" s="398"/>
      <c r="O5" s="397"/>
      <c r="P5" s="399"/>
      <c r="Q5" s="400"/>
      <c r="R5" s="402"/>
      <c r="S5" s="401"/>
      <c r="T5" s="402"/>
      <c r="U5" s="402"/>
      <c r="V5" s="402"/>
      <c r="W5" s="402"/>
      <c r="X5" s="402"/>
      <c r="Y5" s="402"/>
      <c r="Z5" s="402"/>
    </row>
    <row r="6" spans="1:26" s="411" customFormat="1" ht="18.75" customHeight="1">
      <c r="A6" s="405">
        <v>1</v>
      </c>
      <c r="B6" s="406">
        <v>2</v>
      </c>
      <c r="C6" s="407">
        <v>3</v>
      </c>
      <c r="D6" s="407">
        <v>4</v>
      </c>
      <c r="E6" s="407">
        <v>5</v>
      </c>
      <c r="F6" s="407">
        <v>6</v>
      </c>
      <c r="G6" s="407">
        <v>7</v>
      </c>
      <c r="H6" s="407">
        <v>8</v>
      </c>
      <c r="I6" s="407">
        <v>9</v>
      </c>
      <c r="J6" s="407">
        <v>10</v>
      </c>
      <c r="K6" s="480">
        <v>11</v>
      </c>
      <c r="L6" s="406">
        <v>12</v>
      </c>
      <c r="M6" s="408"/>
      <c r="N6" s="409"/>
      <c r="O6" s="408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</row>
    <row r="7" spans="1:26" ht="111" customHeight="1">
      <c r="A7" s="506" t="s">
        <v>25</v>
      </c>
      <c r="B7" s="507" t="s">
        <v>90</v>
      </c>
      <c r="C7" s="508">
        <v>27797.9</v>
      </c>
      <c r="D7" s="509">
        <v>4870.3999999999996</v>
      </c>
      <c r="E7" s="509">
        <v>133.19999999999999</v>
      </c>
      <c r="F7" s="509">
        <f>E7+D7+C7</f>
        <v>32801.5</v>
      </c>
      <c r="G7" s="509">
        <v>19105.5</v>
      </c>
      <c r="H7" s="509">
        <v>4425</v>
      </c>
      <c r="I7" s="509">
        <v>133.19999999999999</v>
      </c>
      <c r="J7" s="509">
        <f>G7+H7+I7</f>
        <v>23663.7</v>
      </c>
      <c r="K7" s="510">
        <f>J7/F7*100</f>
        <v>72.142127646601523</v>
      </c>
      <c r="L7" s="511" t="s">
        <v>387</v>
      </c>
      <c r="M7" s="450">
        <f>124+19.3+165.3+19.3+120.9+200+182.6+220+220+183.4+183.4+120.9+111.8+2.3</f>
        <v>1873.2000000000003</v>
      </c>
      <c r="N7" s="758" t="e">
        <f>M7+#REF!+M8+M10+M12+M13+M14+#REF!</f>
        <v>#REF!</v>
      </c>
      <c r="O7" s="450">
        <v>3.3</v>
      </c>
      <c r="P7" s="712">
        <f>O7+O8+O10+O12+O13+O14+O15+O11</f>
        <v>23663.699999999997</v>
      </c>
      <c r="Q7" s="449"/>
      <c r="R7" s="412"/>
    </row>
    <row r="8" spans="1:26" ht="96" customHeight="1">
      <c r="A8" s="512"/>
      <c r="B8" s="513"/>
      <c r="C8" s="514"/>
      <c r="D8" s="515"/>
      <c r="E8" s="515"/>
      <c r="F8" s="515"/>
      <c r="G8" s="515"/>
      <c r="H8" s="515"/>
      <c r="I8" s="515"/>
      <c r="J8" s="515"/>
      <c r="K8" s="516"/>
      <c r="L8" s="472" t="s">
        <v>369</v>
      </c>
      <c r="M8" s="460">
        <f>486.3+2.1+203.8</f>
        <v>692.2</v>
      </c>
      <c r="N8" s="759"/>
      <c r="O8" s="460">
        <f>721+1.4+133.2</f>
        <v>855.59999999999991</v>
      </c>
      <c r="P8" s="740"/>
    </row>
    <row r="9" spans="1:26" ht="114" hidden="1" customHeight="1">
      <c r="A9" s="512"/>
      <c r="B9" s="513"/>
      <c r="C9" s="514"/>
      <c r="D9" s="515"/>
      <c r="E9" s="515"/>
      <c r="F9" s="515"/>
      <c r="G9" s="515"/>
      <c r="H9" s="515"/>
      <c r="I9" s="515"/>
      <c r="J9" s="515"/>
      <c r="K9" s="516"/>
      <c r="L9" s="472" t="s">
        <v>359</v>
      </c>
      <c r="M9" s="460"/>
      <c r="N9" s="759"/>
      <c r="O9" s="460"/>
      <c r="P9" s="495"/>
    </row>
    <row r="10" spans="1:26" ht="91.5" customHeight="1">
      <c r="A10" s="512"/>
      <c r="B10" s="513"/>
      <c r="C10" s="514"/>
      <c r="D10" s="515"/>
      <c r="E10" s="515"/>
      <c r="F10" s="515"/>
      <c r="G10" s="515"/>
      <c r="H10" s="515"/>
      <c r="I10" s="515"/>
      <c r="J10" s="515"/>
      <c r="K10" s="516"/>
      <c r="L10" s="517" t="s">
        <v>360</v>
      </c>
      <c r="M10" s="460">
        <v>30</v>
      </c>
      <c r="N10" s="759"/>
      <c r="O10" s="460">
        <v>150</v>
      </c>
      <c r="P10" s="495"/>
    </row>
    <row r="11" spans="1:26" ht="56.25" customHeight="1">
      <c r="A11" s="512"/>
      <c r="B11" s="513"/>
      <c r="C11" s="514"/>
      <c r="D11" s="515"/>
      <c r="E11" s="515"/>
      <c r="F11" s="515"/>
      <c r="G11" s="515"/>
      <c r="H11" s="515"/>
      <c r="I11" s="515"/>
      <c r="J11" s="515"/>
      <c r="K11" s="516"/>
      <c r="L11" s="517" t="s">
        <v>382</v>
      </c>
      <c r="M11" s="460"/>
      <c r="N11" s="759"/>
      <c r="O11" s="460">
        <v>180.2</v>
      </c>
      <c r="P11" s="495"/>
    </row>
    <row r="12" spans="1:26" ht="264" customHeight="1">
      <c r="A12" s="518"/>
      <c r="B12" s="519"/>
      <c r="C12" s="520"/>
      <c r="D12" s="521"/>
      <c r="E12" s="521"/>
      <c r="F12" s="515"/>
      <c r="G12" s="521"/>
      <c r="H12" s="521"/>
      <c r="I12" s="521"/>
      <c r="J12" s="515"/>
      <c r="K12" s="516"/>
      <c r="L12" s="517" t="s">
        <v>385</v>
      </c>
      <c r="M12" s="460">
        <f>4942.6+106+128.5+1407.2+951.4+64.6+90.4+3.2+4.5+156.4+146.1+10.2+3.3</f>
        <v>8014.4</v>
      </c>
      <c r="N12" s="759"/>
      <c r="O12" s="460">
        <f>6239.2+58.1+1939.4+122.8+64+6.9+22.4+480.3+1308.9+6.8</f>
        <v>10248.799999999997</v>
      </c>
      <c r="P12" s="740"/>
      <c r="R12" s="402"/>
    </row>
    <row r="13" spans="1:26" ht="46.5" customHeight="1">
      <c r="A13" s="518"/>
      <c r="B13" s="519"/>
      <c r="C13" s="520"/>
      <c r="D13" s="521"/>
      <c r="E13" s="521"/>
      <c r="F13" s="515"/>
      <c r="G13" s="521"/>
      <c r="H13" s="521"/>
      <c r="I13" s="521"/>
      <c r="J13" s="515"/>
      <c r="K13" s="516"/>
      <c r="L13" s="517" t="s">
        <v>383</v>
      </c>
      <c r="M13" s="460">
        <v>146.30000000000001</v>
      </c>
      <c r="N13" s="759"/>
      <c r="O13" s="460">
        <v>74.900000000000006</v>
      </c>
      <c r="P13" s="740"/>
    </row>
    <row r="14" spans="1:26" ht="93" customHeight="1">
      <c r="A14" s="518"/>
      <c r="B14" s="519"/>
      <c r="C14" s="520"/>
      <c r="D14" s="521"/>
      <c r="E14" s="521"/>
      <c r="F14" s="515"/>
      <c r="G14" s="521"/>
      <c r="H14" s="521"/>
      <c r="I14" s="521"/>
      <c r="J14" s="515"/>
      <c r="K14" s="516"/>
      <c r="L14" s="517" t="s">
        <v>384</v>
      </c>
      <c r="M14" s="460">
        <f>562.7+169.9+1453.2+23.2+3+102.8+28+5.5+0.2</f>
        <v>2348.5</v>
      </c>
      <c r="N14" s="759"/>
      <c r="O14" s="460">
        <f>901.2+3.1+272.2+3105.2+69.8+65.2+6.9</f>
        <v>4423.5999999999995</v>
      </c>
      <c r="P14" s="740"/>
      <c r="R14" s="402"/>
    </row>
    <row r="15" spans="1:26" ht="72.75" customHeight="1">
      <c r="A15" s="518"/>
      <c r="B15" s="519"/>
      <c r="C15" s="520"/>
      <c r="D15" s="521"/>
      <c r="E15" s="521"/>
      <c r="F15" s="515"/>
      <c r="G15" s="521"/>
      <c r="H15" s="521"/>
      <c r="I15" s="521"/>
      <c r="J15" s="515"/>
      <c r="K15" s="516"/>
      <c r="L15" s="517" t="s">
        <v>386</v>
      </c>
      <c r="M15" s="461"/>
      <c r="N15" s="493"/>
      <c r="O15" s="461">
        <v>7727.3</v>
      </c>
      <c r="R15" s="402"/>
    </row>
    <row r="16" spans="1:26" ht="131.25" customHeight="1">
      <c r="A16" s="414" t="s">
        <v>26</v>
      </c>
      <c r="B16" s="415" t="s">
        <v>85</v>
      </c>
      <c r="C16" s="522">
        <v>132.19999999999999</v>
      </c>
      <c r="D16" s="522">
        <v>1470</v>
      </c>
      <c r="E16" s="522"/>
      <c r="F16" s="522">
        <f>E16+D16+C16</f>
        <v>1602.2</v>
      </c>
      <c r="G16" s="522">
        <v>30</v>
      </c>
      <c r="H16" s="522">
        <v>1470</v>
      </c>
      <c r="I16" s="522"/>
      <c r="J16" s="522">
        <f>SUM(G16:I16)</f>
        <v>1500</v>
      </c>
      <c r="K16" s="523">
        <f>J16/F16*100</f>
        <v>93.62127075271502</v>
      </c>
      <c r="L16" s="473" t="s">
        <v>394</v>
      </c>
      <c r="O16" s="388">
        <f>30+1470</f>
        <v>1500</v>
      </c>
      <c r="P16" s="499">
        <f>J16-O16</f>
        <v>0</v>
      </c>
    </row>
    <row r="17" spans="1:20" ht="95.25" customHeight="1">
      <c r="A17" s="414" t="s">
        <v>27</v>
      </c>
      <c r="B17" s="524" t="s">
        <v>84</v>
      </c>
      <c r="C17" s="522">
        <f t="shared" ref="C17:J17" si="0">C18+C48+C52</f>
        <v>381698.7</v>
      </c>
      <c r="D17" s="522">
        <f t="shared" si="0"/>
        <v>931143.9</v>
      </c>
      <c r="E17" s="522">
        <f t="shared" si="0"/>
        <v>116875.1</v>
      </c>
      <c r="F17" s="522">
        <f t="shared" si="0"/>
        <v>1429717.7</v>
      </c>
      <c r="G17" s="522">
        <f t="shared" si="0"/>
        <v>336413.39999999997</v>
      </c>
      <c r="H17" s="522">
        <f t="shared" si="0"/>
        <v>785791.2</v>
      </c>
      <c r="I17" s="522">
        <f t="shared" si="0"/>
        <v>114818.9</v>
      </c>
      <c r="J17" s="522">
        <f t="shared" si="0"/>
        <v>1237023.5</v>
      </c>
      <c r="K17" s="523">
        <f>J17*100/F17</f>
        <v>86.522220435544725</v>
      </c>
      <c r="L17" s="417"/>
      <c r="O17" s="418"/>
      <c r="Q17" s="457"/>
      <c r="R17" s="458"/>
      <c r="S17" s="457"/>
    </row>
    <row r="18" spans="1:20" ht="165" customHeight="1">
      <c r="A18" s="525" t="s">
        <v>58</v>
      </c>
      <c r="B18" s="511" t="s">
        <v>33</v>
      </c>
      <c r="C18" s="526">
        <v>352740.5</v>
      </c>
      <c r="D18" s="526">
        <v>931143.9</v>
      </c>
      <c r="E18" s="526">
        <v>116875.1</v>
      </c>
      <c r="F18" s="527">
        <f>E18+D18+C18</f>
        <v>1400759.5</v>
      </c>
      <c r="G18" s="526">
        <v>309113.2</v>
      </c>
      <c r="H18" s="526">
        <v>785791.2</v>
      </c>
      <c r="I18" s="526">
        <v>114818.9</v>
      </c>
      <c r="J18" s="527">
        <f>G18+H18+I18</f>
        <v>1209723.2999999998</v>
      </c>
      <c r="K18" s="510">
        <f>J18*100/F18</f>
        <v>86.361955781845481</v>
      </c>
      <c r="L18" s="528" t="s">
        <v>429</v>
      </c>
      <c r="M18" s="450">
        <f>26980.6+43.6+157.3+9698.1+1438.9+583.6+2486.6+67.4+1200.4</f>
        <v>42656.5</v>
      </c>
      <c r="N18" s="760">
        <f>SUM(M18:M47)</f>
        <v>742983.59999999986</v>
      </c>
      <c r="O18" s="475">
        <f>48367.9+144.2+253.1+12289.8+2733.1+855+3767.7+277+1627.6</f>
        <v>70315.400000000009</v>
      </c>
      <c r="P18" s="478">
        <f>O18+O19+O20+O21+O22+O23+O24+O25+O26+O27+O29+O28+O30+O31+O32+O33+O35+O37+O38+O39+O40+O45+O46+O47+O34+O42+O43+O41</f>
        <v>1209723.2999999998</v>
      </c>
      <c r="Q18" s="456">
        <f>J18-P18</f>
        <v>0</v>
      </c>
      <c r="R18" s="457"/>
      <c r="S18" s="457"/>
    </row>
    <row r="19" spans="1:20" s="390" customFormat="1" ht="93" customHeight="1">
      <c r="A19" s="518"/>
      <c r="B19" s="529"/>
      <c r="C19" s="530"/>
      <c r="D19" s="530"/>
      <c r="E19" s="530"/>
      <c r="F19" s="531"/>
      <c r="G19" s="530"/>
      <c r="H19" s="530"/>
      <c r="I19" s="530"/>
      <c r="J19" s="531"/>
      <c r="K19" s="516"/>
      <c r="L19" s="472" t="s">
        <v>430</v>
      </c>
      <c r="M19" s="460"/>
      <c r="N19" s="717"/>
      <c r="O19" s="476">
        <f>150+150</f>
        <v>300</v>
      </c>
      <c r="P19" s="495"/>
      <c r="Q19" s="501"/>
    </row>
    <row r="20" spans="1:20" s="390" customFormat="1" ht="183" customHeight="1">
      <c r="A20" s="532"/>
      <c r="B20" s="529"/>
      <c r="C20" s="530"/>
      <c r="D20" s="530"/>
      <c r="E20" s="530"/>
      <c r="F20" s="531"/>
      <c r="G20" s="530"/>
      <c r="H20" s="530"/>
      <c r="I20" s="530"/>
      <c r="J20" s="531"/>
      <c r="K20" s="516"/>
      <c r="L20" s="529" t="s">
        <v>447</v>
      </c>
      <c r="M20" s="460">
        <f>106+199.1+122.1+138.3+23.4+8.4+161.6+130+55+37.9+4+9.5+3.8+122.4+40+2510.2+86.5+68.7+35+154.2+13.6+597.8+1133.3+1410.6+5+5</f>
        <v>7181.4</v>
      </c>
      <c r="N20" s="717"/>
      <c r="O20" s="477">
        <f>2.7+9.6+4.2+1.2+7.8+5+5+29.1+49.5+2.5+2.5+2.5+7.6+175.6+152.2+157.5+39.8</f>
        <v>654.29999999999995</v>
      </c>
      <c r="P20" s="495"/>
      <c r="Q20" s="501"/>
    </row>
    <row r="21" spans="1:20" s="390" customFormat="1" ht="94.5" customHeight="1">
      <c r="A21" s="532"/>
      <c r="B21" s="529"/>
      <c r="C21" s="530"/>
      <c r="D21" s="530"/>
      <c r="E21" s="530"/>
      <c r="F21" s="531"/>
      <c r="G21" s="530"/>
      <c r="H21" s="530"/>
      <c r="I21" s="530"/>
      <c r="J21" s="531"/>
      <c r="K21" s="516"/>
      <c r="L21" s="529" t="s">
        <v>466</v>
      </c>
      <c r="M21" s="460">
        <f>97856.7+35.25+1347.53+947.24+28.09</f>
        <v>100214.81</v>
      </c>
      <c r="N21" s="717"/>
      <c r="O21" s="476">
        <f>142979.3+135.7+782.8+264.9+902.73</f>
        <v>145065.43</v>
      </c>
      <c r="P21" s="495"/>
      <c r="Q21" s="501"/>
    </row>
    <row r="22" spans="1:20" s="390" customFormat="1" ht="85.5" customHeight="1">
      <c r="A22" s="532"/>
      <c r="B22" s="529"/>
      <c r="C22" s="530"/>
      <c r="D22" s="530"/>
      <c r="E22" s="530"/>
      <c r="F22" s="531"/>
      <c r="G22" s="530"/>
      <c r="H22" s="530"/>
      <c r="I22" s="530"/>
      <c r="J22" s="531"/>
      <c r="K22" s="516"/>
      <c r="L22" s="472" t="s">
        <v>443</v>
      </c>
      <c r="M22" s="460"/>
      <c r="N22" s="717"/>
      <c r="O22" s="476">
        <f>1.04+50.9</f>
        <v>51.94</v>
      </c>
      <c r="P22" s="495"/>
      <c r="Q22" s="501"/>
    </row>
    <row r="23" spans="1:20" s="390" customFormat="1" ht="153.75" customHeight="1">
      <c r="A23" s="532"/>
      <c r="B23" s="529"/>
      <c r="C23" s="530"/>
      <c r="D23" s="530"/>
      <c r="E23" s="530"/>
      <c r="F23" s="531"/>
      <c r="G23" s="530"/>
      <c r="H23" s="530"/>
      <c r="I23" s="530"/>
      <c r="J23" s="531"/>
      <c r="K23" s="516"/>
      <c r="L23" s="529" t="s">
        <v>444</v>
      </c>
      <c r="M23" s="460">
        <f>37256.75+165.4+1576.31+37236.23+36.3+7690.44+4011.3+7496.32+302.86+10829.39</f>
        <v>106601.30000000002</v>
      </c>
      <c r="N23" s="717"/>
      <c r="O23" s="476">
        <f>71918.7+293.5+2740.7+55557.2+569.8+12783.1+5022.9+222.9+12525.3+432+16683.23</f>
        <v>178749.33</v>
      </c>
      <c r="P23" s="467"/>
      <c r="Q23" s="468"/>
    </row>
    <row r="24" spans="1:20" s="390" customFormat="1" ht="169.5" customHeight="1">
      <c r="A24" s="532"/>
      <c r="B24" s="529"/>
      <c r="C24" s="530"/>
      <c r="D24" s="530"/>
      <c r="E24" s="530"/>
      <c r="F24" s="531"/>
      <c r="G24" s="530"/>
      <c r="H24" s="530"/>
      <c r="I24" s="530"/>
      <c r="J24" s="531"/>
      <c r="K24" s="516"/>
      <c r="L24" s="472" t="s">
        <v>448</v>
      </c>
      <c r="M24" s="460"/>
      <c r="N24" s="717"/>
      <c r="O24" s="476">
        <f>7.9+7.9+7.9+7.9+105.9+7.9+120.5+60.7+178</f>
        <v>504.59999999999997</v>
      </c>
      <c r="P24" s="467"/>
      <c r="Q24" s="468"/>
    </row>
    <row r="25" spans="1:20" s="390" customFormat="1" ht="307.5" customHeight="1">
      <c r="A25" s="532"/>
      <c r="B25" s="529"/>
      <c r="C25" s="530"/>
      <c r="D25" s="530"/>
      <c r="E25" s="530"/>
      <c r="F25" s="531"/>
      <c r="G25" s="530"/>
      <c r="H25" s="530"/>
      <c r="I25" s="530"/>
      <c r="J25" s="531"/>
      <c r="K25" s="533"/>
      <c r="L25" s="534" t="s">
        <v>433</v>
      </c>
      <c r="M25" s="460">
        <f>538.42+136+23.1+70+599.99+58+282.39+4+4+18+13+13+70+140+70+50+70+70+1202.4+70+70+70+199.87+383.88+1+4+8.5+15+24.5+25+38.5+45+55.8+29.7+575.13+585.97+570.62+200+549.28+157.35+19.04+44.12</f>
        <v>7174.56</v>
      </c>
      <c r="N25" s="717"/>
      <c r="O25" s="476">
        <f>2.6+3.3+3.6+3.9+9.6+4+10.5+12+8+4+7.6+5.5+4+11+5+23.6+105+13.1+129.6+83.7+70.2+116.1+31+11.5+45+7.2+32.6+260.7+108.6+252+613.7+346.4+281.3+41.9+89</f>
        <v>2756.8</v>
      </c>
      <c r="P25" s="454">
        <f>O25+O26+O27+O28+O29</f>
        <v>4547.8000000000011</v>
      </c>
      <c r="Q25" s="469" t="e">
        <f>O25+#REF!+#REF!+#REF!+#REF!+#REF!+#REF!+#REF!</f>
        <v>#REF!</v>
      </c>
      <c r="R25" s="429"/>
      <c r="T25" s="412"/>
    </row>
    <row r="26" spans="1:20" s="390" customFormat="1" ht="108" customHeight="1">
      <c r="A26" s="532"/>
      <c r="B26" s="529"/>
      <c r="C26" s="530"/>
      <c r="D26" s="530"/>
      <c r="E26" s="530"/>
      <c r="F26" s="531"/>
      <c r="G26" s="530"/>
      <c r="H26" s="530"/>
      <c r="I26" s="530"/>
      <c r="J26" s="531"/>
      <c r="K26" s="533"/>
      <c r="L26" s="534" t="s">
        <v>431</v>
      </c>
      <c r="M26" s="460"/>
      <c r="N26" s="717"/>
      <c r="O26" s="476">
        <f>2.5+10+5+2.5+12.5+2.5+187+120.3</f>
        <v>342.3</v>
      </c>
      <c r="P26" s="454"/>
      <c r="Q26" s="469"/>
      <c r="R26" s="429"/>
      <c r="T26" s="412"/>
    </row>
    <row r="27" spans="1:20" s="390" customFormat="1" ht="113.25" customHeight="1">
      <c r="A27" s="532"/>
      <c r="B27" s="529"/>
      <c r="C27" s="530"/>
      <c r="D27" s="530"/>
      <c r="E27" s="530"/>
      <c r="F27" s="531"/>
      <c r="G27" s="530"/>
      <c r="H27" s="530"/>
      <c r="I27" s="530"/>
      <c r="J27" s="531"/>
      <c r="K27" s="533"/>
      <c r="L27" s="534" t="s">
        <v>432</v>
      </c>
      <c r="M27" s="460"/>
      <c r="N27" s="717"/>
      <c r="O27" s="476">
        <f>19.8+148.2+5.7+7.6+3.9+32.7+12+565+125+165+110.7</f>
        <v>1195.6000000000001</v>
      </c>
      <c r="P27" s="454"/>
      <c r="Q27" s="469"/>
      <c r="R27" s="429"/>
      <c r="T27" s="412"/>
    </row>
    <row r="28" spans="1:20" s="390" customFormat="1" ht="60" customHeight="1">
      <c r="A28" s="532"/>
      <c r="B28" s="529"/>
      <c r="C28" s="530"/>
      <c r="D28" s="530"/>
      <c r="E28" s="530"/>
      <c r="F28" s="531"/>
      <c r="G28" s="530"/>
      <c r="H28" s="530"/>
      <c r="I28" s="530"/>
      <c r="J28" s="531"/>
      <c r="K28" s="533"/>
      <c r="L28" s="534" t="s">
        <v>449</v>
      </c>
      <c r="M28" s="460"/>
      <c r="N28" s="717"/>
      <c r="O28" s="476">
        <f>8.7+2.6+2.5+2+1.7+5.6</f>
        <v>23.1</v>
      </c>
      <c r="P28" s="454"/>
      <c r="Q28" s="469"/>
      <c r="R28" s="429"/>
      <c r="T28" s="412"/>
    </row>
    <row r="29" spans="1:20" s="390" customFormat="1" ht="69.75" customHeight="1">
      <c r="A29" s="532"/>
      <c r="B29" s="529"/>
      <c r="C29" s="530"/>
      <c r="D29" s="530"/>
      <c r="E29" s="530"/>
      <c r="F29" s="531"/>
      <c r="G29" s="530"/>
      <c r="H29" s="530"/>
      <c r="I29" s="530"/>
      <c r="J29" s="531"/>
      <c r="K29" s="533"/>
      <c r="L29" s="534" t="s">
        <v>450</v>
      </c>
      <c r="M29" s="460"/>
      <c r="N29" s="717"/>
      <c r="O29" s="476">
        <f>89+120.92+20.08</f>
        <v>230</v>
      </c>
      <c r="P29" s="454"/>
      <c r="Q29" s="469"/>
      <c r="R29" s="429"/>
      <c r="T29" s="412"/>
    </row>
    <row r="30" spans="1:20" s="390" customFormat="1" ht="108.75" customHeight="1">
      <c r="A30" s="532"/>
      <c r="B30" s="529"/>
      <c r="C30" s="530"/>
      <c r="D30" s="530"/>
      <c r="E30" s="530"/>
      <c r="F30" s="531"/>
      <c r="G30" s="530"/>
      <c r="H30" s="530"/>
      <c r="I30" s="530"/>
      <c r="J30" s="531"/>
      <c r="K30" s="533"/>
      <c r="L30" s="534" t="s">
        <v>467</v>
      </c>
      <c r="M30" s="460">
        <f>410725.05+98.83+2757.79+5476.13+2317.14</f>
        <v>421374.94</v>
      </c>
      <c r="N30" s="717"/>
      <c r="O30" s="476">
        <f>617578.9+98.5+2155.5+4273.3+2798.23</f>
        <v>626904.43000000005</v>
      </c>
      <c r="P30" s="495"/>
      <c r="Q30" s="501"/>
    </row>
    <row r="31" spans="1:20" s="390" customFormat="1" ht="57" customHeight="1">
      <c r="A31" s="532"/>
      <c r="B31" s="529"/>
      <c r="C31" s="530"/>
      <c r="D31" s="530"/>
      <c r="E31" s="530"/>
      <c r="F31" s="531"/>
      <c r="G31" s="530"/>
      <c r="H31" s="530"/>
      <c r="I31" s="530"/>
      <c r="J31" s="531"/>
      <c r="K31" s="533"/>
      <c r="L31" s="535" t="s">
        <v>434</v>
      </c>
      <c r="M31" s="460"/>
      <c r="N31" s="717"/>
      <c r="O31" s="476">
        <v>2269.0700000000002</v>
      </c>
      <c r="P31" s="495"/>
      <c r="Q31" s="501"/>
    </row>
    <row r="32" spans="1:20" s="390" customFormat="1" ht="87" customHeight="1">
      <c r="A32" s="532"/>
      <c r="B32" s="529"/>
      <c r="C32" s="530"/>
      <c r="D32" s="530"/>
      <c r="E32" s="530"/>
      <c r="F32" s="531"/>
      <c r="G32" s="530"/>
      <c r="H32" s="530"/>
      <c r="I32" s="530"/>
      <c r="J32" s="531"/>
      <c r="K32" s="533"/>
      <c r="L32" s="535" t="s">
        <v>468</v>
      </c>
      <c r="M32" s="460"/>
      <c r="N32" s="717"/>
      <c r="O32" s="476">
        <f>1871.9+841.5+965.5+181.7+292.2</f>
        <v>4152.8</v>
      </c>
      <c r="P32" s="495"/>
      <c r="Q32" s="501"/>
    </row>
    <row r="33" spans="1:18" s="390" customFormat="1" ht="36" customHeight="1">
      <c r="A33" s="532"/>
      <c r="B33" s="529"/>
      <c r="C33" s="530"/>
      <c r="D33" s="530"/>
      <c r="E33" s="530"/>
      <c r="F33" s="531"/>
      <c r="G33" s="530"/>
      <c r="H33" s="530"/>
      <c r="I33" s="530"/>
      <c r="J33" s="531"/>
      <c r="K33" s="533"/>
      <c r="L33" s="536" t="s">
        <v>470</v>
      </c>
      <c r="M33" s="460">
        <f>1164.9+3143.7</f>
        <v>4308.6000000000004</v>
      </c>
      <c r="N33" s="717"/>
      <c r="O33" s="476">
        <f>3182.6+2920.21</f>
        <v>6102.8099999999995</v>
      </c>
      <c r="P33" s="495"/>
      <c r="Q33" s="501"/>
    </row>
    <row r="34" spans="1:18" s="390" customFormat="1" ht="69.75" customHeight="1">
      <c r="A34" s="532"/>
      <c r="B34" s="529"/>
      <c r="C34" s="530"/>
      <c r="D34" s="530"/>
      <c r="E34" s="530"/>
      <c r="F34" s="531"/>
      <c r="G34" s="530"/>
      <c r="H34" s="530"/>
      <c r="I34" s="530"/>
      <c r="J34" s="531"/>
      <c r="K34" s="533"/>
      <c r="L34" s="536" t="s">
        <v>474</v>
      </c>
      <c r="M34" s="460"/>
      <c r="N34" s="717"/>
      <c r="O34" s="476">
        <v>20</v>
      </c>
      <c r="P34" s="495"/>
      <c r="Q34" s="501"/>
    </row>
    <row r="35" spans="1:18" s="390" customFormat="1" ht="57" customHeight="1">
      <c r="A35" s="532"/>
      <c r="B35" s="529"/>
      <c r="C35" s="530"/>
      <c r="D35" s="530"/>
      <c r="E35" s="530"/>
      <c r="F35" s="531"/>
      <c r="G35" s="530"/>
      <c r="H35" s="530"/>
      <c r="I35" s="530"/>
      <c r="J35" s="531"/>
      <c r="K35" s="533"/>
      <c r="L35" s="537" t="s">
        <v>469</v>
      </c>
      <c r="M35" s="460">
        <f>207.75+2056.75+18510.7</f>
        <v>20775.2</v>
      </c>
      <c r="N35" s="717"/>
      <c r="O35" s="476">
        <f>361.2+357.6+35399.1</f>
        <v>36117.9</v>
      </c>
      <c r="P35" s="495"/>
      <c r="Q35" s="501"/>
    </row>
    <row r="36" spans="1:18" s="390" customFormat="1" ht="66.75" hidden="1" customHeight="1">
      <c r="A36" s="532"/>
      <c r="B36" s="529"/>
      <c r="C36" s="530"/>
      <c r="D36" s="530"/>
      <c r="E36" s="530"/>
      <c r="F36" s="531"/>
      <c r="G36" s="530"/>
      <c r="H36" s="530"/>
      <c r="I36" s="530"/>
      <c r="J36" s="531"/>
      <c r="K36" s="533"/>
      <c r="L36" s="470"/>
      <c r="M36" s="460"/>
      <c r="N36" s="717"/>
      <c r="O36" s="476"/>
      <c r="P36" s="495"/>
      <c r="Q36" s="501"/>
    </row>
    <row r="37" spans="1:18" s="390" customFormat="1" ht="92.25" customHeight="1">
      <c r="A37" s="538"/>
      <c r="B37" s="529"/>
      <c r="C37" s="529"/>
      <c r="D37" s="529"/>
      <c r="E37" s="529"/>
      <c r="F37" s="529"/>
      <c r="G37" s="529"/>
      <c r="H37" s="529"/>
      <c r="I37" s="529"/>
      <c r="J37" s="529"/>
      <c r="K37" s="529"/>
      <c r="L37" s="534" t="s">
        <v>441</v>
      </c>
      <c r="M37" s="420">
        <f>7699.24+41.88+3+324.29+235.47+3.9+105.98+122.09</f>
        <v>8535.8499999999985</v>
      </c>
      <c r="N37" s="717"/>
      <c r="O37" s="476">
        <f>10865+73.8+25.1+441.5+121.4+88.5+70.4</f>
        <v>11685.699999999999</v>
      </c>
      <c r="P37" s="495"/>
      <c r="Q37" s="501"/>
    </row>
    <row r="38" spans="1:18" s="390" customFormat="1" ht="99" customHeight="1">
      <c r="A38" s="538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34" t="s">
        <v>440</v>
      </c>
      <c r="M38" s="420">
        <f>20902.69+77.99+6.7+408.7+893.73+1030.36+7.39+187.57+368.06</f>
        <v>23883.190000000002</v>
      </c>
      <c r="N38" s="717"/>
      <c r="O38" s="476">
        <f>32444.4+123.9+657.6+617.3+1322.1+11.1+11.4+396.9+550.7</f>
        <v>36135.4</v>
      </c>
      <c r="P38" s="495"/>
      <c r="Q38" s="501"/>
    </row>
    <row r="39" spans="1:18" s="390" customFormat="1" ht="81" customHeight="1">
      <c r="A39" s="538"/>
      <c r="B39" s="529"/>
      <c r="C39" s="530"/>
      <c r="D39" s="530"/>
      <c r="E39" s="530"/>
      <c r="F39" s="531"/>
      <c r="G39" s="530"/>
      <c r="H39" s="530"/>
      <c r="I39" s="530"/>
      <c r="J39" s="531"/>
      <c r="K39" s="533"/>
      <c r="L39" s="534" t="s">
        <v>436</v>
      </c>
      <c r="M39" s="460">
        <f>29.75+247.5</f>
        <v>277.25</v>
      </c>
      <c r="N39" s="717"/>
      <c r="O39" s="476">
        <f>1244.4+10+5+129+16.8</f>
        <v>1405.2</v>
      </c>
      <c r="P39" s="495"/>
      <c r="Q39" s="501"/>
    </row>
    <row r="40" spans="1:18" s="390" customFormat="1" ht="116.25" customHeight="1">
      <c r="A40" s="538"/>
      <c r="B40" s="529"/>
      <c r="C40" s="530"/>
      <c r="D40" s="530"/>
      <c r="E40" s="530"/>
      <c r="F40" s="531"/>
      <c r="G40" s="530"/>
      <c r="H40" s="530"/>
      <c r="I40" s="530"/>
      <c r="J40" s="531"/>
      <c r="K40" s="539"/>
      <c r="L40" s="535" t="s">
        <v>451</v>
      </c>
      <c r="M40" s="461"/>
      <c r="N40" s="496"/>
      <c r="O40" s="476">
        <f>1015.6+13+4+87.8+33.7+82.2</f>
        <v>1236.3</v>
      </c>
      <c r="P40" s="495"/>
      <c r="Q40" s="501"/>
    </row>
    <row r="41" spans="1:18" s="390" customFormat="1" ht="60.75" customHeight="1">
      <c r="A41" s="538"/>
      <c r="B41" s="529"/>
      <c r="C41" s="530"/>
      <c r="D41" s="530"/>
      <c r="E41" s="530"/>
      <c r="F41" s="531"/>
      <c r="G41" s="530"/>
      <c r="H41" s="530"/>
      <c r="I41" s="530"/>
      <c r="J41" s="531"/>
      <c r="K41" s="539"/>
      <c r="L41" s="535" t="s">
        <v>437</v>
      </c>
      <c r="M41" s="461"/>
      <c r="N41" s="496"/>
      <c r="O41" s="476">
        <v>8.9</v>
      </c>
      <c r="P41" s="495"/>
      <c r="Q41" s="501"/>
    </row>
    <row r="42" spans="1:18" s="390" customFormat="1" ht="134.25" customHeight="1">
      <c r="A42" s="538"/>
      <c r="B42" s="529"/>
      <c r="C42" s="530"/>
      <c r="D42" s="530"/>
      <c r="E42" s="530"/>
      <c r="F42" s="531"/>
      <c r="G42" s="530"/>
      <c r="H42" s="530"/>
      <c r="I42" s="530"/>
      <c r="J42" s="531"/>
      <c r="K42" s="539"/>
      <c r="L42" s="540" t="s">
        <v>452</v>
      </c>
      <c r="M42" s="461"/>
      <c r="N42" s="496"/>
      <c r="O42" s="476">
        <f>2000+2000</f>
        <v>4000</v>
      </c>
      <c r="P42" s="495"/>
      <c r="Q42" s="501"/>
    </row>
    <row r="43" spans="1:18" s="390" customFormat="1" ht="102" customHeight="1">
      <c r="A43" s="538"/>
      <c r="B43" s="529"/>
      <c r="C43" s="530"/>
      <c r="D43" s="530"/>
      <c r="E43" s="530"/>
      <c r="F43" s="531"/>
      <c r="G43" s="530"/>
      <c r="H43" s="530"/>
      <c r="I43" s="530"/>
      <c r="J43" s="531"/>
      <c r="K43" s="539"/>
      <c r="L43" s="540" t="s">
        <v>435</v>
      </c>
      <c r="M43" s="461"/>
      <c r="N43" s="496"/>
      <c r="O43" s="476">
        <f>25.43+25.17+2492.25</f>
        <v>2542.85</v>
      </c>
      <c r="P43" s="495"/>
      <c r="Q43" s="501"/>
    </row>
    <row r="44" spans="1:18" s="390" customFormat="1" ht="31.5" customHeight="1">
      <c r="A44" s="538"/>
      <c r="B44" s="529"/>
      <c r="C44" s="530"/>
      <c r="D44" s="530"/>
      <c r="E44" s="530"/>
      <c r="F44" s="531"/>
      <c r="G44" s="530"/>
      <c r="H44" s="530"/>
      <c r="I44" s="530"/>
      <c r="J44" s="531"/>
      <c r="K44" s="539"/>
      <c r="L44" s="540" t="s">
        <v>361</v>
      </c>
      <c r="M44" s="461"/>
      <c r="N44" s="496"/>
      <c r="O44" s="455"/>
      <c r="P44" s="495"/>
      <c r="Q44" s="501"/>
    </row>
    <row r="45" spans="1:18" s="390" customFormat="1" ht="131.25" customHeight="1">
      <c r="A45" s="538"/>
      <c r="B45" s="529"/>
      <c r="C45" s="530"/>
      <c r="D45" s="530"/>
      <c r="E45" s="530"/>
      <c r="F45" s="531"/>
      <c r="G45" s="530"/>
      <c r="H45" s="530"/>
      <c r="I45" s="530"/>
      <c r="J45" s="531"/>
      <c r="K45" s="539"/>
      <c r="L45" s="535" t="s">
        <v>442</v>
      </c>
      <c r="M45" s="461"/>
      <c r="N45" s="496"/>
      <c r="O45" s="476">
        <v>885.77</v>
      </c>
      <c r="P45" s="495"/>
      <c r="Q45" s="501"/>
    </row>
    <row r="46" spans="1:18" s="390" customFormat="1" ht="95.25" customHeight="1">
      <c r="A46" s="538"/>
      <c r="B46" s="529"/>
      <c r="C46" s="530"/>
      <c r="D46" s="530"/>
      <c r="E46" s="530"/>
      <c r="F46" s="531"/>
      <c r="G46" s="530"/>
      <c r="H46" s="530"/>
      <c r="I46" s="530"/>
      <c r="J46" s="531"/>
      <c r="K46" s="539"/>
      <c r="L46" s="535" t="s">
        <v>438</v>
      </c>
      <c r="M46" s="461"/>
      <c r="N46" s="496"/>
      <c r="O46" s="476">
        <f>25.59+2533.83</f>
        <v>2559.42</v>
      </c>
      <c r="P46" s="495"/>
      <c r="Q46" s="501"/>
    </row>
    <row r="47" spans="1:18" s="390" customFormat="1" ht="79.5" customHeight="1">
      <c r="A47" s="538"/>
      <c r="B47" s="529"/>
      <c r="C47" s="530"/>
      <c r="D47" s="530"/>
      <c r="E47" s="530"/>
      <c r="F47" s="531"/>
      <c r="G47" s="530"/>
      <c r="H47" s="530"/>
      <c r="I47" s="530"/>
      <c r="J47" s="531"/>
      <c r="K47" s="539"/>
      <c r="L47" s="541" t="s">
        <v>439</v>
      </c>
      <c r="M47" s="461"/>
      <c r="N47" s="496"/>
      <c r="O47" s="476">
        <v>73507.95</v>
      </c>
      <c r="P47" s="495"/>
      <c r="Q47" s="501"/>
    </row>
    <row r="48" spans="1:18" s="390" customFormat="1" ht="125.25" customHeight="1">
      <c r="A48" s="525" t="s">
        <v>59</v>
      </c>
      <c r="B48" s="511" t="s">
        <v>1</v>
      </c>
      <c r="C48" s="542">
        <v>28205.7</v>
      </c>
      <c r="D48" s="542"/>
      <c r="E48" s="542"/>
      <c r="F48" s="509">
        <f>E48+D48+C48</f>
        <v>28205.7</v>
      </c>
      <c r="G48" s="542">
        <v>26548.1</v>
      </c>
      <c r="H48" s="542"/>
      <c r="I48" s="542"/>
      <c r="J48" s="508">
        <f>I48+H48+G48</f>
        <v>26548.1</v>
      </c>
      <c r="K48" s="510">
        <f>J48*100/F48</f>
        <v>94.123173684751663</v>
      </c>
      <c r="L48" s="511" t="s">
        <v>426</v>
      </c>
      <c r="M48" s="450">
        <f>10247+34.2+199.5+108+68.6+7.2+69.2</f>
        <v>10733.700000000003</v>
      </c>
      <c r="N48" s="758" t="e">
        <f>M48+#REF!+#REF!+M50+M51+#REF!</f>
        <v>#REF!</v>
      </c>
      <c r="O48" s="423">
        <f>17160.5+70.1+328.2+176.8+41.4+52.8+3.5</f>
        <v>17833.3</v>
      </c>
      <c r="P48" s="719">
        <f>O48+O50+O51+O49</f>
        <v>26548.100000000002</v>
      </c>
      <c r="Q48" s="466">
        <f>J48-P48</f>
        <v>0</v>
      </c>
      <c r="R48" s="419"/>
    </row>
    <row r="49" spans="1:18" s="390" customFormat="1" ht="93" customHeight="1">
      <c r="A49" s="518"/>
      <c r="B49" s="529"/>
      <c r="C49" s="521"/>
      <c r="D49" s="521"/>
      <c r="E49" s="521"/>
      <c r="F49" s="515"/>
      <c r="G49" s="521"/>
      <c r="H49" s="521"/>
      <c r="I49" s="521"/>
      <c r="J49" s="514"/>
      <c r="K49" s="516"/>
      <c r="L49" s="543" t="s">
        <v>453</v>
      </c>
      <c r="M49" s="460"/>
      <c r="N49" s="759"/>
      <c r="O49" s="420">
        <f>4+5+28.8+26.1+5</f>
        <v>68.900000000000006</v>
      </c>
      <c r="P49" s="720"/>
      <c r="Q49" s="466"/>
      <c r="R49" s="419"/>
    </row>
    <row r="50" spans="1:18" s="390" customFormat="1" ht="117" customHeight="1">
      <c r="A50" s="538"/>
      <c r="B50" s="529"/>
      <c r="C50" s="521"/>
      <c r="D50" s="521"/>
      <c r="E50" s="521"/>
      <c r="F50" s="515"/>
      <c r="G50" s="521"/>
      <c r="H50" s="521"/>
      <c r="I50" s="521"/>
      <c r="J50" s="514"/>
      <c r="K50" s="516"/>
      <c r="L50" s="544" t="s">
        <v>427</v>
      </c>
      <c r="M50" s="460">
        <f>47+45+154.4</f>
        <v>246.4</v>
      </c>
      <c r="N50" s="759"/>
      <c r="O50" s="460">
        <f>42.4+5+12.4+80+72.25+27.95</f>
        <v>240</v>
      </c>
      <c r="P50" s="720"/>
      <c r="Q50" s="499"/>
    </row>
    <row r="51" spans="1:18" s="390" customFormat="1" ht="108" customHeight="1">
      <c r="A51" s="538"/>
      <c r="B51" s="529"/>
      <c r="C51" s="521"/>
      <c r="D51" s="521"/>
      <c r="E51" s="521"/>
      <c r="F51" s="515"/>
      <c r="G51" s="521"/>
      <c r="H51" s="521"/>
      <c r="I51" s="521"/>
      <c r="J51" s="514"/>
      <c r="K51" s="516"/>
      <c r="L51" s="544" t="s">
        <v>428</v>
      </c>
      <c r="M51" s="413">
        <v>4175.8999999999996</v>
      </c>
      <c r="N51" s="761"/>
      <c r="O51" s="460">
        <f>8016.9+189.2+135.2+64.6</f>
        <v>8405.9000000000015</v>
      </c>
      <c r="P51" s="720"/>
      <c r="Q51" s="501"/>
    </row>
    <row r="52" spans="1:18" s="390" customFormat="1" ht="237" customHeight="1">
      <c r="A52" s="424" t="s">
        <v>60</v>
      </c>
      <c r="B52" s="474" t="s">
        <v>36</v>
      </c>
      <c r="C52" s="481">
        <v>752.5</v>
      </c>
      <c r="D52" s="545"/>
      <c r="E52" s="481"/>
      <c r="F52" s="522">
        <f>E52+D52+C52</f>
        <v>752.5</v>
      </c>
      <c r="G52" s="481">
        <v>752.1</v>
      </c>
      <c r="H52" s="481"/>
      <c r="I52" s="481"/>
      <c r="J52" s="522">
        <f>I52+H52+G52</f>
        <v>752.1</v>
      </c>
      <c r="K52" s="523">
        <f>J52*100/F52</f>
        <v>99.946843853820596</v>
      </c>
      <c r="L52" s="546" t="s">
        <v>465</v>
      </c>
      <c r="M52" s="425">
        <f>1.1+1+15.3+25.9+33.1+20+7.5+8+21.3+39.4+0.5+8.9</f>
        <v>182.00000000000003</v>
      </c>
      <c r="N52" s="389"/>
      <c r="O52" s="388">
        <f>10.8+20+52.31+2+9.08+10.47+9.79+7.15+12.76+171+73.4+216+30+27.85+80+11+8.49</f>
        <v>752.1</v>
      </c>
      <c r="P52" s="499"/>
      <c r="Q52" s="501"/>
    </row>
    <row r="53" spans="1:18" s="390" customFormat="1" ht="363.75" customHeight="1">
      <c r="A53" s="506" t="s">
        <v>28</v>
      </c>
      <c r="B53" s="547" t="s">
        <v>83</v>
      </c>
      <c r="C53" s="509">
        <v>7470.4</v>
      </c>
      <c r="D53" s="509">
        <v>384.6</v>
      </c>
      <c r="E53" s="542"/>
      <c r="F53" s="508">
        <f>E53+D53+C53</f>
        <v>7855</v>
      </c>
      <c r="G53" s="522">
        <v>7207.7</v>
      </c>
      <c r="H53" s="522">
        <v>363.9</v>
      </c>
      <c r="I53" s="522"/>
      <c r="J53" s="522">
        <f>I53+H53+G53</f>
        <v>7571.5999999999995</v>
      </c>
      <c r="K53" s="523">
        <f>J53*100/F53</f>
        <v>96.392106938255893</v>
      </c>
      <c r="L53" s="474" t="s">
        <v>388</v>
      </c>
      <c r="M53" s="426">
        <f>3822.7+32.8+14+40.9</f>
        <v>3910.4</v>
      </c>
      <c r="N53" s="427"/>
      <c r="O53" s="450">
        <f>6706+205+460.6+200</f>
        <v>7571.6</v>
      </c>
      <c r="P53" s="504"/>
      <c r="Q53" s="494">
        <f>J53-O53</f>
        <v>0</v>
      </c>
    </row>
    <row r="54" spans="1:18" s="390" customFormat="1" ht="78">
      <c r="A54" s="506" t="s">
        <v>29</v>
      </c>
      <c r="B54" s="603" t="s">
        <v>82</v>
      </c>
      <c r="C54" s="602">
        <f t="shared" ref="C54:J54" si="1">C55+C60+C74+C78+C80</f>
        <v>156479.60000000003</v>
      </c>
      <c r="D54" s="602">
        <f t="shared" si="1"/>
        <v>171.7</v>
      </c>
      <c r="E54" s="602">
        <f t="shared" si="1"/>
        <v>8191.2</v>
      </c>
      <c r="F54" s="602">
        <f t="shared" si="1"/>
        <v>164842.5</v>
      </c>
      <c r="G54" s="515">
        <f t="shared" si="1"/>
        <v>150671</v>
      </c>
      <c r="H54" s="515">
        <f t="shared" si="1"/>
        <v>171.6</v>
      </c>
      <c r="I54" s="515">
        <f t="shared" si="1"/>
        <v>8191.2</v>
      </c>
      <c r="J54" s="515">
        <f t="shared" si="1"/>
        <v>159033.79999999999</v>
      </c>
      <c r="K54" s="516">
        <f>J54*100/F54</f>
        <v>96.476212141893001</v>
      </c>
      <c r="L54" s="550"/>
      <c r="M54" s="388"/>
      <c r="N54" s="389"/>
      <c r="O54" s="388"/>
      <c r="P54" s="499"/>
      <c r="Q54" s="501"/>
    </row>
    <row r="55" spans="1:18" s="390" customFormat="1" ht="292.5" customHeight="1">
      <c r="A55" s="751" t="s">
        <v>61</v>
      </c>
      <c r="B55" s="753" t="s">
        <v>3</v>
      </c>
      <c r="C55" s="526">
        <v>36276.800000000003</v>
      </c>
      <c r="D55" s="526"/>
      <c r="E55" s="526"/>
      <c r="F55" s="527">
        <f>E55+D55+C55</f>
        <v>36276.800000000003</v>
      </c>
      <c r="G55" s="755">
        <v>34685.800000000003</v>
      </c>
      <c r="H55" s="755"/>
      <c r="I55" s="755"/>
      <c r="J55" s="729">
        <f>I55+H55+G55</f>
        <v>34685.800000000003</v>
      </c>
      <c r="K55" s="708">
        <f>J55*100/F55</f>
        <v>95.614276893221017</v>
      </c>
      <c r="L55" s="604" t="s">
        <v>475</v>
      </c>
      <c r="M55" s="450">
        <f>10320.32+2957.91+31.2+3.5+63.39+1642.51+215.53+267.9+11.3+196.35+19.45+199+0.4+12.96+0.25+137.03</f>
        <v>16079</v>
      </c>
      <c r="N55" s="716" t="e">
        <f>M55+M56+#REF!+#REF!+#REF!</f>
        <v>#REF!</v>
      </c>
      <c r="O55" s="450">
        <f>19648.79+26.24+5872.37+140.43+2201.32+789.02+572.07+242.94+10.98+388.23+24.06+501.12+282.44+90.28</f>
        <v>30790.289999999997</v>
      </c>
      <c r="P55" s="500">
        <f>O55+O56+O59+O57+O58</f>
        <v>34685.799999999996</v>
      </c>
      <c r="Q55" s="449">
        <f>J55-P55</f>
        <v>0</v>
      </c>
    </row>
    <row r="56" spans="1:18" s="390" customFormat="1" ht="324" customHeight="1">
      <c r="A56" s="752"/>
      <c r="B56" s="754"/>
      <c r="C56" s="530"/>
      <c r="D56" s="530"/>
      <c r="E56" s="530"/>
      <c r="F56" s="531"/>
      <c r="G56" s="756"/>
      <c r="H56" s="756"/>
      <c r="I56" s="756"/>
      <c r="J56" s="757"/>
      <c r="K56" s="762"/>
      <c r="L56" s="575" t="s">
        <v>454</v>
      </c>
      <c r="M56" s="459">
        <f>1.5+27.08+10+35.78+384.4+34.9+8.1+9.84+4.31+150+4+7+3+6.65+6.96+37.52+4.42+9.9+17.92+3+10.45+25+10.39</f>
        <v>812.11999999999989</v>
      </c>
      <c r="N56" s="717"/>
      <c r="O56" s="413">
        <f>5+1.8+2+10.75+5.38+5+1.97+68.08+2.64+75.53+16.81+5+125+1.94+70.8+36.13+24.49+20.3+11.99+10.5+10.94+10.94+10.94+58.8+9.3+31.73+3.54</f>
        <v>637.30000000000007</v>
      </c>
      <c r="P56" s="505"/>
      <c r="Q56" s="503"/>
    </row>
    <row r="57" spans="1:18" s="390" customFormat="1" ht="175.5" customHeight="1">
      <c r="A57" s="518"/>
      <c r="B57" s="553"/>
      <c r="C57" s="530"/>
      <c r="D57" s="530"/>
      <c r="E57" s="530"/>
      <c r="F57" s="531"/>
      <c r="G57" s="554"/>
      <c r="H57" s="554"/>
      <c r="I57" s="554"/>
      <c r="J57" s="555"/>
      <c r="K57" s="516"/>
      <c r="L57" s="511" t="s">
        <v>418</v>
      </c>
      <c r="M57" s="459"/>
      <c r="N57" s="496"/>
      <c r="O57" s="460">
        <f>10+5+11+3.5+37.9+125+6+254.46+3+5+2.5+5+13.85+12.74+2.02+2.48+35</f>
        <v>534.45000000000005</v>
      </c>
      <c r="P57" s="495"/>
      <c r="Q57" s="503"/>
    </row>
    <row r="58" spans="1:18" s="390" customFormat="1" ht="75.75" customHeight="1">
      <c r="A58" s="518"/>
      <c r="B58" s="553"/>
      <c r="C58" s="530"/>
      <c r="D58" s="530"/>
      <c r="E58" s="530"/>
      <c r="F58" s="531"/>
      <c r="G58" s="554"/>
      <c r="H58" s="554"/>
      <c r="I58" s="554"/>
      <c r="J58" s="555"/>
      <c r="K58" s="516"/>
      <c r="L58" s="556" t="s">
        <v>419</v>
      </c>
      <c r="M58" s="459"/>
      <c r="N58" s="496"/>
      <c r="O58" s="460">
        <v>402</v>
      </c>
      <c r="P58" s="495"/>
      <c r="Q58" s="503"/>
    </row>
    <row r="59" spans="1:18" s="390" customFormat="1" ht="116.25" customHeight="1">
      <c r="A59" s="518"/>
      <c r="B59" s="553"/>
      <c r="C59" s="530"/>
      <c r="D59" s="530"/>
      <c r="E59" s="530"/>
      <c r="F59" s="531"/>
      <c r="G59" s="554"/>
      <c r="H59" s="554"/>
      <c r="I59" s="554"/>
      <c r="J59" s="555"/>
      <c r="K59" s="516"/>
      <c r="L59" s="556" t="s">
        <v>420</v>
      </c>
      <c r="M59" s="459"/>
      <c r="N59" s="496"/>
      <c r="O59" s="460">
        <v>2321.7600000000002</v>
      </c>
      <c r="P59" s="495"/>
      <c r="Q59" s="503"/>
    </row>
    <row r="60" spans="1:18" s="390" customFormat="1" ht="227.25" customHeight="1">
      <c r="A60" s="525" t="s">
        <v>62</v>
      </c>
      <c r="B60" s="557" t="s">
        <v>2</v>
      </c>
      <c r="C60" s="542">
        <v>57581.7</v>
      </c>
      <c r="D60" s="542">
        <v>171.7</v>
      </c>
      <c r="E60" s="542">
        <v>8191.2</v>
      </c>
      <c r="F60" s="509">
        <f>E60+D60+C60</f>
        <v>65944.599999999991</v>
      </c>
      <c r="G60" s="542">
        <v>54073.8</v>
      </c>
      <c r="H60" s="542">
        <v>171.6</v>
      </c>
      <c r="I60" s="542">
        <v>8191.2</v>
      </c>
      <c r="J60" s="509">
        <f>G60+I60+H60</f>
        <v>62436.6</v>
      </c>
      <c r="K60" s="510">
        <f>J60*100/F60</f>
        <v>94.680383230772506</v>
      </c>
      <c r="L60" s="558" t="s">
        <v>421</v>
      </c>
      <c r="M60" s="450">
        <f>17176.33+4967.85+144.27+916.2+165.06+77.19+95.4+9.45+79.96+1.72+229.17</f>
        <v>23862.600000000002</v>
      </c>
      <c r="N60" s="710">
        <f>SUM(M60:M68)</f>
        <v>31436.95</v>
      </c>
      <c r="O60" s="450">
        <f>29791.77+58.61+8979.28+742.67+1296.9+216.04+418.05+206.33+96.14+71.4+36.32+38.42+341.45</f>
        <v>42293.380000000005</v>
      </c>
      <c r="P60" s="465">
        <f>O61+O60+O64+O65+O66+O67+O68+O70+O71+O72+O73+O62+O63+O69</f>
        <v>62436.600000000006</v>
      </c>
      <c r="Q60" s="449">
        <f>J60-P60</f>
        <v>0</v>
      </c>
    </row>
    <row r="61" spans="1:18" s="390" customFormat="1" ht="201.75" customHeight="1">
      <c r="A61" s="518"/>
      <c r="B61" s="559"/>
      <c r="C61" s="521"/>
      <c r="D61" s="521"/>
      <c r="E61" s="521"/>
      <c r="F61" s="515"/>
      <c r="G61" s="521"/>
      <c r="H61" s="521"/>
      <c r="I61" s="521"/>
      <c r="J61" s="515"/>
      <c r="K61" s="516"/>
      <c r="L61" s="560" t="s">
        <v>422</v>
      </c>
      <c r="M61" s="460">
        <f>26.5+31.34+50+9.37+30+524.58+0.83+234.4+7.3+91.5+93.9+77.8+4.08+4.59+200+39.99+35.96+14.71+11.97+117.28</f>
        <v>1606.1</v>
      </c>
      <c r="N61" s="723"/>
      <c r="O61" s="460">
        <f>60+40.62+6+20+82.86+22.8+46.88+449.82+405.77+580.73+240+76.5+49.44</f>
        <v>2081.42</v>
      </c>
      <c r="P61" s="495"/>
      <c r="Q61" s="501"/>
    </row>
    <row r="62" spans="1:18" s="390" customFormat="1" ht="60.75" customHeight="1">
      <c r="A62" s="518"/>
      <c r="B62" s="559"/>
      <c r="C62" s="521"/>
      <c r="D62" s="521"/>
      <c r="E62" s="521"/>
      <c r="F62" s="515"/>
      <c r="G62" s="521"/>
      <c r="H62" s="521"/>
      <c r="I62" s="521"/>
      <c r="J62" s="515"/>
      <c r="K62" s="516"/>
      <c r="L62" s="561" t="s">
        <v>471</v>
      </c>
      <c r="M62" s="460"/>
      <c r="N62" s="723"/>
      <c r="O62" s="460">
        <v>88.9</v>
      </c>
      <c r="P62" s="495"/>
      <c r="Q62" s="501"/>
    </row>
    <row r="63" spans="1:18" s="390" customFormat="1" ht="72.75" customHeight="1">
      <c r="A63" s="518"/>
      <c r="B63" s="559"/>
      <c r="C63" s="521"/>
      <c r="D63" s="521"/>
      <c r="E63" s="521"/>
      <c r="F63" s="515"/>
      <c r="G63" s="521"/>
      <c r="H63" s="521"/>
      <c r="I63" s="521"/>
      <c r="J63" s="515"/>
      <c r="K63" s="516"/>
      <c r="L63" s="561" t="s">
        <v>425</v>
      </c>
      <c r="M63" s="460"/>
      <c r="N63" s="723"/>
      <c r="O63" s="460">
        <f>1.23+1.2+121.2</f>
        <v>123.63</v>
      </c>
      <c r="P63" s="495"/>
      <c r="Q63" s="501"/>
    </row>
    <row r="64" spans="1:18" s="390" customFormat="1" ht="93.75" customHeight="1">
      <c r="A64" s="518"/>
      <c r="B64" s="559"/>
      <c r="C64" s="521"/>
      <c r="D64" s="521"/>
      <c r="E64" s="521"/>
      <c r="F64" s="515"/>
      <c r="G64" s="521"/>
      <c r="H64" s="521"/>
      <c r="I64" s="521"/>
      <c r="J64" s="515"/>
      <c r="K64" s="516"/>
      <c r="L64" s="561" t="s">
        <v>373</v>
      </c>
      <c r="M64" s="460"/>
      <c r="N64" s="723"/>
      <c r="O64" s="460">
        <f>0.51+0.5+50</f>
        <v>51.01</v>
      </c>
      <c r="P64" s="495"/>
      <c r="Q64" s="501"/>
    </row>
    <row r="65" spans="1:18" s="390" customFormat="1" ht="87.75" customHeight="1">
      <c r="A65" s="518"/>
      <c r="B65" s="559"/>
      <c r="C65" s="521"/>
      <c r="D65" s="521"/>
      <c r="E65" s="521"/>
      <c r="F65" s="515"/>
      <c r="G65" s="521"/>
      <c r="H65" s="521"/>
      <c r="I65" s="521"/>
      <c r="J65" s="515"/>
      <c r="K65" s="516"/>
      <c r="L65" s="560" t="s">
        <v>374</v>
      </c>
      <c r="M65" s="460">
        <f>6.79+332.5</f>
        <v>339.29</v>
      </c>
      <c r="N65" s="723"/>
      <c r="O65" s="460">
        <f>1.02+1+100</f>
        <v>102.02</v>
      </c>
      <c r="P65" s="495"/>
      <c r="Q65" s="501"/>
    </row>
    <row r="66" spans="1:18" s="390" customFormat="1" ht="71.25" customHeight="1">
      <c r="A66" s="518"/>
      <c r="B66" s="559"/>
      <c r="C66" s="521"/>
      <c r="D66" s="521"/>
      <c r="E66" s="521"/>
      <c r="F66" s="515"/>
      <c r="G66" s="521"/>
      <c r="H66" s="521"/>
      <c r="I66" s="521"/>
      <c r="J66" s="515"/>
      <c r="K66" s="516"/>
      <c r="L66" s="561" t="s">
        <v>375</v>
      </c>
      <c r="M66" s="460"/>
      <c r="N66" s="723"/>
      <c r="O66" s="460">
        <v>500</v>
      </c>
      <c r="P66" s="495"/>
      <c r="Q66" s="501"/>
    </row>
    <row r="67" spans="1:18" s="390" customFormat="1" ht="272.25" customHeight="1">
      <c r="A67" s="518"/>
      <c r="B67" s="559"/>
      <c r="C67" s="521"/>
      <c r="D67" s="521"/>
      <c r="E67" s="521"/>
      <c r="F67" s="515"/>
      <c r="G67" s="521"/>
      <c r="H67" s="521"/>
      <c r="I67" s="521"/>
      <c r="J67" s="515"/>
      <c r="K67" s="516"/>
      <c r="L67" s="560" t="s">
        <v>424</v>
      </c>
      <c r="M67" s="460">
        <f>1835.14+527.19+26.66+204.47+102.85+134.34+113.93+144.55+19.09+28.5+12.89+0.09+4.37+24.43+1.13</f>
        <v>3179.6299999999997</v>
      </c>
      <c r="N67" s="723"/>
      <c r="O67" s="460">
        <f>3491.51+8.66+1064.61+50.52+293.08+228.63+271.71+24.76+236.18+46.24+125.62+61.61+112.03+88.4</f>
        <v>6103.5599999999995</v>
      </c>
      <c r="P67" s="495"/>
      <c r="Q67" s="501"/>
    </row>
    <row r="68" spans="1:18" s="390" customFormat="1" ht="318" customHeight="1">
      <c r="A68" s="518"/>
      <c r="B68" s="559"/>
      <c r="C68" s="521"/>
      <c r="D68" s="521"/>
      <c r="E68" s="521"/>
      <c r="F68" s="515"/>
      <c r="G68" s="521"/>
      <c r="H68" s="521"/>
      <c r="I68" s="521"/>
      <c r="J68" s="515"/>
      <c r="K68" s="516"/>
      <c r="L68" s="560" t="s">
        <v>472</v>
      </c>
      <c r="M68" s="459">
        <f>3.46+13+2.4+20+4.5+11+50+5.1+10.5+2.1+500+220+32.66+8.85+25+2+22+22+5.4+24.6+8.4+17.03+27.61+1299.96+4.9+23.2+8+5.21+10.6+9.25+50.6</f>
        <v>2449.3299999999995</v>
      </c>
      <c r="N68" s="723"/>
      <c r="O68" s="460">
        <f>3.3+1.14+3+4.2+49+1.6+3+2.7+3+2.03+5+90+2.01+300+45+585.7+2+1.91+2.14+2.61+16.5+2+21+11.64+9+2+5+5+2</f>
        <v>1183.4800000000002</v>
      </c>
      <c r="P68" s="505"/>
      <c r="Q68" s="503"/>
    </row>
    <row r="69" spans="1:18" s="390" customFormat="1" ht="152.25" customHeight="1">
      <c r="A69" s="518"/>
      <c r="B69" s="559"/>
      <c r="C69" s="521"/>
      <c r="D69" s="521"/>
      <c r="E69" s="521"/>
      <c r="F69" s="515"/>
      <c r="G69" s="521"/>
      <c r="H69" s="521"/>
      <c r="I69" s="521"/>
      <c r="J69" s="515"/>
      <c r="K69" s="516"/>
      <c r="L69" s="562" t="s">
        <v>455</v>
      </c>
      <c r="M69" s="459"/>
      <c r="N69" s="497"/>
      <c r="O69" s="460">
        <f>5+2+10+2+11.5+5.03+0.84+3+14+14.8+0.86+14.02+9+16.44+86.06+4.67</f>
        <v>199.22</v>
      </c>
      <c r="P69" s="495"/>
      <c r="Q69" s="503"/>
    </row>
    <row r="70" spans="1:18" s="390" customFormat="1" ht="90.75" customHeight="1">
      <c r="A70" s="518"/>
      <c r="B70" s="559"/>
      <c r="C70" s="521"/>
      <c r="D70" s="521"/>
      <c r="E70" s="521"/>
      <c r="F70" s="515"/>
      <c r="G70" s="521"/>
      <c r="H70" s="521"/>
      <c r="I70" s="521"/>
      <c r="J70" s="515"/>
      <c r="K70" s="516"/>
      <c r="L70" s="561" t="s">
        <v>456</v>
      </c>
      <c r="M70" s="459"/>
      <c r="N70" s="497"/>
      <c r="O70" s="460">
        <f>84+15+30+15+15+11</f>
        <v>170</v>
      </c>
      <c r="P70" s="495"/>
      <c r="Q70" s="503"/>
    </row>
    <row r="71" spans="1:18" s="390" customFormat="1" ht="92.25" customHeight="1">
      <c r="A71" s="518"/>
      <c r="B71" s="559"/>
      <c r="C71" s="521"/>
      <c r="D71" s="521"/>
      <c r="E71" s="521"/>
      <c r="F71" s="515"/>
      <c r="G71" s="521"/>
      <c r="H71" s="521"/>
      <c r="I71" s="521"/>
      <c r="J71" s="515"/>
      <c r="K71" s="516"/>
      <c r="L71" s="561" t="s">
        <v>368</v>
      </c>
      <c r="M71" s="459"/>
      <c r="N71" s="497"/>
      <c r="O71" s="460">
        <f>10+46.12</f>
        <v>56.12</v>
      </c>
      <c r="P71" s="495"/>
      <c r="Q71" s="503"/>
    </row>
    <row r="72" spans="1:18" s="390" customFormat="1" ht="124.5" customHeight="1">
      <c r="A72" s="518"/>
      <c r="B72" s="559"/>
      <c r="C72" s="521"/>
      <c r="D72" s="521"/>
      <c r="E72" s="521"/>
      <c r="F72" s="515"/>
      <c r="G72" s="521"/>
      <c r="H72" s="521"/>
      <c r="I72" s="521"/>
      <c r="J72" s="515"/>
      <c r="K72" s="516"/>
      <c r="L72" s="561" t="s">
        <v>457</v>
      </c>
      <c r="M72" s="459"/>
      <c r="N72" s="497"/>
      <c r="O72" s="460">
        <f>450+100+100+100+250+374.85+28.2</f>
        <v>1403.05</v>
      </c>
      <c r="P72" s="495"/>
      <c r="Q72" s="503"/>
    </row>
    <row r="73" spans="1:18" s="390" customFormat="1" ht="98.25" customHeight="1">
      <c r="A73" s="518"/>
      <c r="B73" s="559"/>
      <c r="C73" s="521"/>
      <c r="D73" s="521"/>
      <c r="E73" s="521"/>
      <c r="F73" s="515"/>
      <c r="G73" s="521"/>
      <c r="H73" s="521"/>
      <c r="I73" s="521"/>
      <c r="J73" s="515"/>
      <c r="K73" s="516"/>
      <c r="L73" s="561" t="s">
        <v>423</v>
      </c>
      <c r="M73" s="459"/>
      <c r="N73" s="497"/>
      <c r="O73" s="460">
        <f>80.81+80+7920</f>
        <v>8080.81</v>
      </c>
      <c r="P73" s="495"/>
      <c r="Q73" s="503"/>
    </row>
    <row r="74" spans="1:18" s="390" customFormat="1" ht="178.5" customHeight="1">
      <c r="A74" s="525" t="s">
        <v>63</v>
      </c>
      <c r="B74" s="563" t="s">
        <v>4</v>
      </c>
      <c r="C74" s="542">
        <v>22290.1</v>
      </c>
      <c r="D74" s="542"/>
      <c r="E74" s="542"/>
      <c r="F74" s="509">
        <f>E74+D74+C74</f>
        <v>22290.1</v>
      </c>
      <c r="G74" s="542">
        <v>22238.799999999999</v>
      </c>
      <c r="H74" s="542"/>
      <c r="I74" s="542"/>
      <c r="J74" s="509">
        <f>G74+H74+I74</f>
        <v>22238.799999999999</v>
      </c>
      <c r="K74" s="510">
        <f>J74/F74*100</f>
        <v>99.769852984060194</v>
      </c>
      <c r="L74" s="546" t="s">
        <v>473</v>
      </c>
      <c r="M74" s="450">
        <v>342.5</v>
      </c>
      <c r="N74" s="710">
        <f>M74+M76+M77</f>
        <v>1366</v>
      </c>
      <c r="O74" s="423">
        <f>14597.66+4394.7+14.71+845.15+46.69+367.51+3.1+73.7+27.58</f>
        <v>20370.8</v>
      </c>
      <c r="P74" s="494">
        <f>O74+O75+O76+O77</f>
        <v>22238.799999999999</v>
      </c>
      <c r="Q74" s="499">
        <f>J74-P74</f>
        <v>0</v>
      </c>
      <c r="R74" s="429">
        <f>J74-Q74</f>
        <v>22238.799999999999</v>
      </c>
    </row>
    <row r="75" spans="1:18" s="390" customFormat="1" ht="83.25" customHeight="1">
      <c r="A75" s="518"/>
      <c r="B75" s="564"/>
      <c r="C75" s="521"/>
      <c r="D75" s="521"/>
      <c r="E75" s="521"/>
      <c r="F75" s="515"/>
      <c r="G75" s="521"/>
      <c r="H75" s="521"/>
      <c r="I75" s="521"/>
      <c r="J75" s="515"/>
      <c r="K75" s="516"/>
      <c r="L75" s="517" t="s">
        <v>416</v>
      </c>
      <c r="M75" s="460"/>
      <c r="N75" s="723"/>
      <c r="O75" s="420">
        <v>1329.73</v>
      </c>
      <c r="P75" s="495"/>
      <c r="Q75" s="499"/>
      <c r="R75" s="429"/>
    </row>
    <row r="76" spans="1:18" s="390" customFormat="1" ht="387.75" customHeight="1">
      <c r="A76" s="518"/>
      <c r="B76" s="564"/>
      <c r="C76" s="521"/>
      <c r="D76" s="521"/>
      <c r="E76" s="521"/>
      <c r="F76" s="515"/>
      <c r="G76" s="521"/>
      <c r="H76" s="521"/>
      <c r="I76" s="521"/>
      <c r="J76" s="515"/>
      <c r="K76" s="516"/>
      <c r="L76" s="416" t="s">
        <v>417</v>
      </c>
      <c r="M76" s="460">
        <f>10+15.25+20+7+113.65+24.6+7+6.1+30+3+7.2+6.1+11.19+3+6+15+3+7.72+15+5.6+96+33.16+109+4.23+10</f>
        <v>568.80000000000007</v>
      </c>
      <c r="N76" s="745"/>
      <c r="O76" s="471">
        <f>4.7+20+4.95+5.31+4.98+29.62+8.9+9.5+5+0.84+14.93+4.9+20.67+17.05+74.52+0.35+10+8.85+4+1.99+4.18+10.82+1.89+4.91+7+10+5+34.51</f>
        <v>329.37</v>
      </c>
      <c r="P76" s="492"/>
      <c r="Q76" s="501"/>
    </row>
    <row r="77" spans="1:18" s="390" customFormat="1" ht="180.75" customHeight="1">
      <c r="A77" s="518"/>
      <c r="B77" s="564"/>
      <c r="C77" s="521"/>
      <c r="D77" s="521"/>
      <c r="E77" s="521"/>
      <c r="F77" s="515"/>
      <c r="G77" s="521"/>
      <c r="H77" s="521"/>
      <c r="I77" s="521"/>
      <c r="J77" s="515"/>
      <c r="K77" s="516"/>
      <c r="L77" s="517" t="s">
        <v>476</v>
      </c>
      <c r="M77" s="413">
        <f>10.5+49.69+121+128.33+10.31+25+35.9+14+25.97+30+4</f>
        <v>454.69999999999993</v>
      </c>
      <c r="N77" s="711"/>
      <c r="O77" s="413">
        <f>20.1+19.9+45.4+3.5+23.5+58.5+8+30</f>
        <v>208.9</v>
      </c>
      <c r="P77" s="505"/>
      <c r="Q77" s="501"/>
    </row>
    <row r="78" spans="1:18" s="390" customFormat="1" ht="137.25" customHeight="1">
      <c r="A78" s="525" t="s">
        <v>64</v>
      </c>
      <c r="B78" s="565" t="s">
        <v>38</v>
      </c>
      <c r="C78" s="542">
        <v>37697.300000000003</v>
      </c>
      <c r="D78" s="542"/>
      <c r="E78" s="542"/>
      <c r="F78" s="509">
        <f>E78+D78+C78</f>
        <v>37697.300000000003</v>
      </c>
      <c r="G78" s="542">
        <v>37162.199999999997</v>
      </c>
      <c r="H78" s="542"/>
      <c r="I78" s="542"/>
      <c r="J78" s="509">
        <f>I78+H78+G78</f>
        <v>37162.199999999997</v>
      </c>
      <c r="K78" s="510">
        <f>J78*100/F78</f>
        <v>98.580534945473531</v>
      </c>
      <c r="L78" s="511" t="s">
        <v>458</v>
      </c>
      <c r="M78" s="430">
        <f>3961.47+1099.01+16.81+7.7+268.76+8+3.5</f>
        <v>5365.25</v>
      </c>
      <c r="N78" s="710">
        <f>M78+M79</f>
        <v>22512.099999999995</v>
      </c>
      <c r="O78" s="450">
        <f>5397.14+1557.09+37.93+12.75+131.6+9.3+3.09</f>
        <v>7148.9000000000015</v>
      </c>
      <c r="P78" s="733">
        <f>O78+O79</f>
        <v>37162.200000000012</v>
      </c>
      <c r="Q78" s="739">
        <f>J78-P78</f>
        <v>0</v>
      </c>
    </row>
    <row r="79" spans="1:18" s="390" customFormat="1" ht="136.5" customHeight="1">
      <c r="A79" s="566"/>
      <c r="B79" s="534"/>
      <c r="C79" s="521"/>
      <c r="D79" s="521"/>
      <c r="E79" s="521"/>
      <c r="F79" s="515"/>
      <c r="G79" s="521"/>
      <c r="H79" s="521"/>
      <c r="I79" s="521"/>
      <c r="J79" s="515"/>
      <c r="K79" s="516"/>
      <c r="L79" s="567" t="s">
        <v>459</v>
      </c>
      <c r="M79" s="422">
        <f>12954.75+3628.12+59.06+114.09+161.69+8.42+185.54+5.76+3.73+25.69</f>
        <v>17146.849999999995</v>
      </c>
      <c r="N79" s="711"/>
      <c r="O79" s="460">
        <f>22410.97+37.95+6463.35+71.15+83.54+788.1+4.9+3.5+117+25.8+7.04</f>
        <v>30013.300000000007</v>
      </c>
      <c r="P79" s="734"/>
      <c r="Q79" s="739"/>
    </row>
    <row r="80" spans="1:18" s="390" customFormat="1" ht="158.25" customHeight="1">
      <c r="A80" s="525" t="s">
        <v>65</v>
      </c>
      <c r="B80" s="563" t="s">
        <v>6</v>
      </c>
      <c r="C80" s="542">
        <v>2633.7</v>
      </c>
      <c r="D80" s="542"/>
      <c r="E80" s="509"/>
      <c r="F80" s="509">
        <f>E80+D80+C80</f>
        <v>2633.7</v>
      </c>
      <c r="G80" s="542">
        <v>2510.4</v>
      </c>
      <c r="H80" s="542"/>
      <c r="I80" s="542"/>
      <c r="J80" s="509">
        <f>I80+H80+G80</f>
        <v>2510.4</v>
      </c>
      <c r="K80" s="510">
        <f>J80*100/F80</f>
        <v>95.318373391046819</v>
      </c>
      <c r="L80" s="529" t="s">
        <v>414</v>
      </c>
      <c r="M80" s="450">
        <f>957.78+275.7+12.5+2.4+20+4.1+28.1+24.82</f>
        <v>1325.3999999999999</v>
      </c>
      <c r="N80" s="746">
        <f>M80+M81</f>
        <v>1616.3999999999999</v>
      </c>
      <c r="O80" s="423">
        <f>1587.31+478.52+22.22+24.7+20.84+4.8+2.16+9.25</f>
        <v>2149.7999999999997</v>
      </c>
      <c r="P80" s="748">
        <f>O80+O81</f>
        <v>2510.3999999999996</v>
      </c>
      <c r="Q80" s="739">
        <f>J80-P80</f>
        <v>0</v>
      </c>
      <c r="R80" s="462"/>
    </row>
    <row r="81" spans="1:19" s="390" customFormat="1" ht="189" customHeight="1">
      <c r="A81" s="568"/>
      <c r="B81" s="569"/>
      <c r="C81" s="570"/>
      <c r="D81" s="571"/>
      <c r="E81" s="548"/>
      <c r="F81" s="548"/>
      <c r="G81" s="570"/>
      <c r="H81" s="570"/>
      <c r="I81" s="570"/>
      <c r="J81" s="548"/>
      <c r="K81" s="549"/>
      <c r="L81" s="550" t="s">
        <v>415</v>
      </c>
      <c r="M81" s="413">
        <f>14+2.4+54.98+38.74+28.8+11.2+50+31.8+37+21+1+0.08</f>
        <v>291</v>
      </c>
      <c r="N81" s="747"/>
      <c r="O81" s="434">
        <f>7.8+63.89+25+52.8+54.98+24.35+12.15+4.2+1.36+5+2.7+31+20.63+24.03+15.31+9.02+6.38</f>
        <v>360.59999999999997</v>
      </c>
      <c r="P81" s="749"/>
      <c r="Q81" s="750"/>
    </row>
    <row r="82" spans="1:19" s="390" customFormat="1" ht="334.5" customHeight="1">
      <c r="A82" s="506" t="s">
        <v>31</v>
      </c>
      <c r="B82" s="572" t="s">
        <v>72</v>
      </c>
      <c r="C82" s="509">
        <v>71348.7</v>
      </c>
      <c r="D82" s="509"/>
      <c r="E82" s="509"/>
      <c r="F82" s="509">
        <f>E82+D82+C82</f>
        <v>71348.7</v>
      </c>
      <c r="G82" s="509">
        <v>70397</v>
      </c>
      <c r="H82" s="573"/>
      <c r="I82" s="509"/>
      <c r="J82" s="509">
        <f>I82+H82+G82</f>
        <v>70397</v>
      </c>
      <c r="K82" s="510">
        <f>J82*100/F82</f>
        <v>98.666128464849393</v>
      </c>
      <c r="L82" s="546" t="s">
        <v>412</v>
      </c>
      <c r="M82" s="450">
        <f>9.5+8.4+6.5+9.05+13.64+6</f>
        <v>53.09</v>
      </c>
      <c r="N82" s="710" t="e">
        <f>M82+M83+#REF!+#REF!+#REF!+#REF!+M86+#REF!+#REF!</f>
        <v>#REF!</v>
      </c>
      <c r="O82" s="450">
        <f>6.81+8.2+5.97+9.6+5.32+10.97+13.79+12.95+8.5+0.48+10.44+15.47</f>
        <v>108.5</v>
      </c>
      <c r="P82" s="731">
        <f>O82+O83+O84+O85+O86+O88+O87</f>
        <v>70397</v>
      </c>
      <c r="Q82" s="453">
        <f>J82-P82</f>
        <v>0</v>
      </c>
      <c r="R82" s="499">
        <f>J82-P82</f>
        <v>0</v>
      </c>
      <c r="S82" s="432"/>
    </row>
    <row r="83" spans="1:19" s="390" customFormat="1" ht="237.75" customHeight="1">
      <c r="A83" s="512"/>
      <c r="B83" s="540"/>
      <c r="C83" s="515"/>
      <c r="D83" s="515"/>
      <c r="E83" s="521"/>
      <c r="F83" s="515"/>
      <c r="G83" s="515"/>
      <c r="H83" s="515"/>
      <c r="I83" s="515"/>
      <c r="J83" s="515"/>
      <c r="K83" s="516"/>
      <c r="L83" s="517" t="s">
        <v>411</v>
      </c>
      <c r="M83" s="460">
        <f>3039.83+865.66+4.9+60.7</f>
        <v>3971.0899999999997</v>
      </c>
      <c r="N83" s="723"/>
      <c r="O83" s="460">
        <f>29776.19+43.78+9008.24+27.85+917.17+500.79+114+4.71+74.78+241.14+94.6+280.27</f>
        <v>41083.51999999999</v>
      </c>
      <c r="P83" s="732"/>
      <c r="Q83" s="501"/>
    </row>
    <row r="84" spans="1:19" s="390" customFormat="1" ht="159.75" customHeight="1">
      <c r="A84" s="512"/>
      <c r="B84" s="540"/>
      <c r="C84" s="515"/>
      <c r="D84" s="515"/>
      <c r="E84" s="521"/>
      <c r="F84" s="515"/>
      <c r="G84" s="515"/>
      <c r="H84" s="515"/>
      <c r="I84" s="515"/>
      <c r="J84" s="515"/>
      <c r="K84" s="516"/>
      <c r="L84" s="472" t="s">
        <v>409</v>
      </c>
      <c r="M84" s="460"/>
      <c r="N84" s="723"/>
      <c r="O84" s="460">
        <f>58.8+300+100</f>
        <v>458.8</v>
      </c>
      <c r="P84" s="732"/>
      <c r="Q84" s="501"/>
    </row>
    <row r="85" spans="1:19" s="390" customFormat="1" ht="216.75" customHeight="1">
      <c r="A85" s="512"/>
      <c r="B85" s="540"/>
      <c r="C85" s="515"/>
      <c r="D85" s="515"/>
      <c r="E85" s="521"/>
      <c r="F85" s="515"/>
      <c r="G85" s="515"/>
      <c r="H85" s="515"/>
      <c r="I85" s="515"/>
      <c r="J85" s="515"/>
      <c r="K85" s="516"/>
      <c r="L85" s="472" t="s">
        <v>413</v>
      </c>
      <c r="M85" s="460"/>
      <c r="N85" s="723"/>
      <c r="O85" s="460">
        <f>14841.68+21.61+4397.56+65.02+1571.57+676.29+145.63+3.9+264.53+4863.78+1498.81</f>
        <v>28350.380000000005</v>
      </c>
      <c r="P85" s="732"/>
      <c r="Q85" s="501"/>
    </row>
    <row r="86" spans="1:19" s="390" customFormat="1" ht="351.75" customHeight="1">
      <c r="A86" s="538"/>
      <c r="B86" s="540"/>
      <c r="C86" s="515"/>
      <c r="D86" s="515"/>
      <c r="E86" s="521"/>
      <c r="F86" s="515"/>
      <c r="G86" s="515"/>
      <c r="H86" s="515"/>
      <c r="I86" s="515"/>
      <c r="J86" s="515"/>
      <c r="K86" s="516"/>
      <c r="L86" s="529" t="s">
        <v>460</v>
      </c>
      <c r="M86" s="460">
        <f>12+4.56+14.5+30+25.35+9.45+21.76+12.97+8.16+10.29+4.14+8.5+4.05+12.15+6.4</f>
        <v>184.28</v>
      </c>
      <c r="N86" s="723"/>
      <c r="O86" s="460">
        <f>48.15+19.83+8.55+7.19+3.94+3.97+7.6+39+5.36+5.52+27+3.6+4+2.91+30.19</f>
        <v>216.80999999999997</v>
      </c>
      <c r="P86" s="732"/>
      <c r="Q86" s="501" t="e">
        <f>1845.2-O86-#REF!-#REF!</f>
        <v>#REF!</v>
      </c>
    </row>
    <row r="87" spans="1:19" s="390" customFormat="1" ht="127.5" customHeight="1">
      <c r="A87" s="538"/>
      <c r="B87" s="540"/>
      <c r="C87" s="515"/>
      <c r="D87" s="515"/>
      <c r="E87" s="521"/>
      <c r="F87" s="515"/>
      <c r="G87" s="515"/>
      <c r="H87" s="515"/>
      <c r="I87" s="515"/>
      <c r="J87" s="515"/>
      <c r="K87" s="516"/>
      <c r="L87" s="529" t="s">
        <v>410</v>
      </c>
      <c r="M87" s="461"/>
      <c r="N87" s="498"/>
      <c r="O87" s="461">
        <f>2.25+11.2+10.54+26.84</f>
        <v>50.83</v>
      </c>
      <c r="P87" s="502"/>
      <c r="Q87" s="501"/>
    </row>
    <row r="88" spans="1:19" s="390" customFormat="1" ht="205.5" customHeight="1">
      <c r="A88" s="538"/>
      <c r="B88" s="540"/>
      <c r="C88" s="515"/>
      <c r="D88" s="515"/>
      <c r="E88" s="521"/>
      <c r="F88" s="515"/>
      <c r="G88" s="515"/>
      <c r="H88" s="515"/>
      <c r="I88" s="515"/>
      <c r="J88" s="515"/>
      <c r="K88" s="516"/>
      <c r="L88" s="529" t="s">
        <v>461</v>
      </c>
      <c r="M88" s="461"/>
      <c r="N88" s="498"/>
      <c r="O88" s="422">
        <f>3.51+14.92+12.22+16.91+5.55+5.1+9.54+20+11.42+9.73+1.56+5+12.7</f>
        <v>128.16</v>
      </c>
      <c r="P88" s="491"/>
      <c r="Q88" s="501"/>
    </row>
    <row r="89" spans="1:19" s="390" customFormat="1" ht="71.25" customHeight="1">
      <c r="A89" s="448">
        <v>7</v>
      </c>
      <c r="B89" s="415" t="s">
        <v>73</v>
      </c>
      <c r="C89" s="522">
        <f t="shared" ref="C89:J89" si="2">C90+C92+C96</f>
        <v>17196.099999999999</v>
      </c>
      <c r="D89" s="522">
        <f t="shared" si="2"/>
        <v>109578.20000000001</v>
      </c>
      <c r="E89" s="522">
        <f t="shared" si="2"/>
        <v>12208.9</v>
      </c>
      <c r="F89" s="522">
        <f t="shared" si="2"/>
        <v>138983.20000000001</v>
      </c>
      <c r="G89" s="522">
        <f>G90+G92+G96</f>
        <v>16820</v>
      </c>
      <c r="H89" s="522">
        <f t="shared" si="2"/>
        <v>107258.7</v>
      </c>
      <c r="I89" s="522">
        <f t="shared" si="2"/>
        <v>12208.9</v>
      </c>
      <c r="J89" s="522">
        <f t="shared" si="2"/>
        <v>136287.6</v>
      </c>
      <c r="K89" s="523">
        <f>J89*100/F89</f>
        <v>98.060485008259988</v>
      </c>
      <c r="L89" s="416"/>
      <c r="M89" s="388"/>
      <c r="N89" s="389"/>
      <c r="O89" s="388"/>
      <c r="P89" s="499"/>
      <c r="Q89" s="501"/>
    </row>
    <row r="90" spans="1:19" s="390" customFormat="1" ht="245.25" customHeight="1">
      <c r="A90" s="574" t="s">
        <v>32</v>
      </c>
      <c r="B90" s="565" t="s">
        <v>45</v>
      </c>
      <c r="C90" s="542">
        <v>10306.700000000001</v>
      </c>
      <c r="D90" s="542">
        <v>3392.1</v>
      </c>
      <c r="E90" s="542"/>
      <c r="F90" s="509">
        <f>E90+D90+C90</f>
        <v>13698.800000000001</v>
      </c>
      <c r="G90" s="542">
        <v>10305.6</v>
      </c>
      <c r="H90" s="542">
        <v>2973.2</v>
      </c>
      <c r="I90" s="542"/>
      <c r="J90" s="509">
        <f>I90+H90+G90</f>
        <v>13278.8</v>
      </c>
      <c r="K90" s="510">
        <f>J90*100/F90</f>
        <v>96.934038017928572</v>
      </c>
      <c r="L90" s="575" t="s">
        <v>481</v>
      </c>
      <c r="M90" s="450">
        <f>5355.4+50+25.7+80+429</f>
        <v>5940.0999999999995</v>
      </c>
      <c r="N90" s="716">
        <f>M90+M91</f>
        <v>9880.9</v>
      </c>
      <c r="O90" s="450">
        <f>10199.5+30+26.9+49.2+562.9</f>
        <v>10868.5</v>
      </c>
      <c r="P90" s="737">
        <f>O90+O91</f>
        <v>13278.8</v>
      </c>
      <c r="Q90" s="712">
        <f>J90-P90</f>
        <v>0</v>
      </c>
    </row>
    <row r="91" spans="1:19" s="390" customFormat="1" ht="73.5" customHeight="1">
      <c r="A91" s="576"/>
      <c r="B91" s="577"/>
      <c r="C91" s="570"/>
      <c r="D91" s="570"/>
      <c r="E91" s="570"/>
      <c r="F91" s="548"/>
      <c r="G91" s="570"/>
      <c r="H91" s="570"/>
      <c r="I91" s="570"/>
      <c r="J91" s="548"/>
      <c r="K91" s="549"/>
      <c r="L91" s="544" t="s">
        <v>480</v>
      </c>
      <c r="M91" s="413">
        <v>3940.8</v>
      </c>
      <c r="N91" s="718"/>
      <c r="O91" s="413">
        <v>2410.3000000000002</v>
      </c>
      <c r="P91" s="738"/>
      <c r="Q91" s="713"/>
    </row>
    <row r="92" spans="1:19" s="390" customFormat="1" ht="144.75" customHeight="1">
      <c r="A92" s="525" t="s">
        <v>34</v>
      </c>
      <c r="B92" s="565" t="s">
        <v>7</v>
      </c>
      <c r="C92" s="526"/>
      <c r="D92" s="526">
        <v>102836.1</v>
      </c>
      <c r="E92" s="526">
        <v>12208.9</v>
      </c>
      <c r="F92" s="527">
        <f>E92+D92+C92</f>
        <v>115045</v>
      </c>
      <c r="G92" s="526"/>
      <c r="H92" s="526">
        <v>100935.5</v>
      </c>
      <c r="I92" s="526">
        <v>12208.9</v>
      </c>
      <c r="J92" s="527">
        <f>G92+H92+I92</f>
        <v>113144.4</v>
      </c>
      <c r="K92" s="578">
        <f>J92*100/F92</f>
        <v>98.347950801860136</v>
      </c>
      <c r="L92" s="546" t="s">
        <v>390</v>
      </c>
      <c r="M92" s="430">
        <f>11180+33559.8</f>
        <v>44739.8</v>
      </c>
      <c r="N92" s="716" t="e">
        <f>M92+#REF!+M95</f>
        <v>#REF!</v>
      </c>
      <c r="O92" s="450">
        <v>43231.3</v>
      </c>
      <c r="P92" s="737">
        <f>O92+O93+O94+O95</f>
        <v>113144.4</v>
      </c>
      <c r="Q92" s="712">
        <f>J92-P92</f>
        <v>0</v>
      </c>
    </row>
    <row r="93" spans="1:19" s="390" customFormat="1" ht="115.5" customHeight="1">
      <c r="A93" s="518"/>
      <c r="B93" s="534"/>
      <c r="C93" s="530"/>
      <c r="D93" s="530"/>
      <c r="E93" s="530"/>
      <c r="F93" s="531"/>
      <c r="G93" s="530"/>
      <c r="H93" s="530"/>
      <c r="I93" s="530"/>
      <c r="J93" s="531"/>
      <c r="K93" s="579"/>
      <c r="L93" s="517" t="s">
        <v>391</v>
      </c>
      <c r="M93" s="461"/>
      <c r="N93" s="717"/>
      <c r="O93" s="450">
        <f>10005.3+460.8+73.7+131.8+191.9+6+261.8+435.1</f>
        <v>11566.399999999998</v>
      </c>
      <c r="P93" s="739"/>
      <c r="Q93" s="740"/>
    </row>
    <row r="94" spans="1:19" s="390" customFormat="1" ht="94.5" customHeight="1">
      <c r="A94" s="518"/>
      <c r="B94" s="534"/>
      <c r="C94" s="530"/>
      <c r="D94" s="530"/>
      <c r="E94" s="530"/>
      <c r="F94" s="531"/>
      <c r="G94" s="530"/>
      <c r="H94" s="530"/>
      <c r="I94" s="530"/>
      <c r="J94" s="531"/>
      <c r="K94" s="579"/>
      <c r="L94" s="517" t="s">
        <v>392</v>
      </c>
      <c r="M94" s="461"/>
      <c r="N94" s="717"/>
      <c r="O94" s="460">
        <f>28862.2+17152.3</f>
        <v>46014.5</v>
      </c>
      <c r="P94" s="739"/>
      <c r="Q94" s="740"/>
    </row>
    <row r="95" spans="1:19" s="390" customFormat="1" ht="108.75" customHeight="1">
      <c r="A95" s="518"/>
      <c r="B95" s="577"/>
      <c r="C95" s="551"/>
      <c r="D95" s="551"/>
      <c r="E95" s="551"/>
      <c r="F95" s="552"/>
      <c r="G95" s="551"/>
      <c r="H95" s="551"/>
      <c r="I95" s="551"/>
      <c r="J95" s="552"/>
      <c r="K95" s="580"/>
      <c r="L95" s="581" t="s">
        <v>372</v>
      </c>
      <c r="M95" s="422">
        <f>22046.5+12798.3</f>
        <v>34844.800000000003</v>
      </c>
      <c r="N95" s="718"/>
      <c r="O95" s="413">
        <f>12208.9+123.3</f>
        <v>12332.199999999999</v>
      </c>
      <c r="P95" s="738"/>
      <c r="Q95" s="741"/>
    </row>
    <row r="96" spans="1:19" s="390" customFormat="1" ht="105.75" customHeight="1">
      <c r="A96" s="525" t="s">
        <v>35</v>
      </c>
      <c r="B96" s="582" t="s">
        <v>8</v>
      </c>
      <c r="C96" s="542">
        <v>6889.4</v>
      </c>
      <c r="D96" s="542">
        <v>3350</v>
      </c>
      <c r="E96" s="542"/>
      <c r="F96" s="509">
        <f>E96+D96+C96</f>
        <v>10239.4</v>
      </c>
      <c r="G96" s="542">
        <v>6514.4</v>
      </c>
      <c r="H96" s="542">
        <v>3350</v>
      </c>
      <c r="I96" s="542"/>
      <c r="J96" s="509">
        <f>I96+H96+G96</f>
        <v>9864.4</v>
      </c>
      <c r="K96" s="510">
        <f>J96*100/F96</f>
        <v>96.337676035705215</v>
      </c>
      <c r="L96" s="517" t="s">
        <v>408</v>
      </c>
      <c r="M96" s="450">
        <f>2052.2+136+21.6+195.9</f>
        <v>2405.6999999999998</v>
      </c>
      <c r="N96" s="433" t="e">
        <f>M96+#REF!</f>
        <v>#REF!</v>
      </c>
      <c r="O96" s="450">
        <f>3753.1+150.8+91.5+235.4</f>
        <v>4230.8</v>
      </c>
      <c r="P96" s="737">
        <f>O96+O97+O98+O99+O100</f>
        <v>9864.4</v>
      </c>
      <c r="Q96" s="712">
        <f>J96-P96</f>
        <v>0</v>
      </c>
    </row>
    <row r="97" spans="1:18" s="390" customFormat="1" ht="60" customHeight="1">
      <c r="A97" s="566"/>
      <c r="B97" s="534"/>
      <c r="C97" s="521"/>
      <c r="D97" s="521"/>
      <c r="E97" s="521"/>
      <c r="F97" s="515"/>
      <c r="G97" s="521"/>
      <c r="H97" s="521"/>
      <c r="I97" s="521"/>
      <c r="J97" s="515"/>
      <c r="K97" s="516"/>
      <c r="L97" s="583" t="s">
        <v>362</v>
      </c>
      <c r="M97" s="460"/>
      <c r="N97" s="421"/>
      <c r="O97" s="460">
        <v>68.7</v>
      </c>
      <c r="P97" s="739"/>
      <c r="Q97" s="740"/>
    </row>
    <row r="98" spans="1:18" s="390" customFormat="1" ht="60.75" customHeight="1">
      <c r="A98" s="518"/>
      <c r="B98" s="564"/>
      <c r="C98" s="521"/>
      <c r="D98" s="521"/>
      <c r="E98" s="521"/>
      <c r="F98" s="515"/>
      <c r="G98" s="521"/>
      <c r="H98" s="521"/>
      <c r="I98" s="521"/>
      <c r="J98" s="515"/>
      <c r="K98" s="579"/>
      <c r="L98" s="472" t="s">
        <v>363</v>
      </c>
      <c r="M98" s="461"/>
      <c r="N98" s="421"/>
      <c r="O98" s="460">
        <v>98</v>
      </c>
      <c r="P98" s="739"/>
      <c r="Q98" s="740"/>
    </row>
    <row r="99" spans="1:18" s="390" customFormat="1" ht="73.5" customHeight="1">
      <c r="A99" s="518"/>
      <c r="B99" s="564"/>
      <c r="C99" s="521"/>
      <c r="D99" s="521"/>
      <c r="E99" s="521"/>
      <c r="F99" s="515"/>
      <c r="G99" s="521"/>
      <c r="H99" s="521"/>
      <c r="I99" s="521"/>
      <c r="J99" s="515"/>
      <c r="K99" s="516"/>
      <c r="L99" s="472" t="s">
        <v>364</v>
      </c>
      <c r="M99" s="460"/>
      <c r="N99" s="421"/>
      <c r="O99" s="460">
        <v>1226.4000000000001</v>
      </c>
      <c r="P99" s="739"/>
      <c r="Q99" s="740"/>
    </row>
    <row r="100" spans="1:18" s="390" customFormat="1" ht="71.25" customHeight="1">
      <c r="A100" s="518"/>
      <c r="B100" s="564"/>
      <c r="C100" s="521"/>
      <c r="D100" s="521"/>
      <c r="E100" s="521"/>
      <c r="F100" s="515"/>
      <c r="G100" s="521"/>
      <c r="H100" s="521"/>
      <c r="I100" s="521"/>
      <c r="J100" s="515"/>
      <c r="K100" s="516"/>
      <c r="L100" s="472" t="s">
        <v>371</v>
      </c>
      <c r="M100" s="460"/>
      <c r="N100" s="421"/>
      <c r="O100" s="460">
        <f>3350+890.5</f>
        <v>4240.5</v>
      </c>
      <c r="P100" s="499"/>
      <c r="Q100" s="495"/>
    </row>
    <row r="101" spans="1:18" s="390" customFormat="1" ht="259.5" customHeight="1">
      <c r="A101" s="584" t="s">
        <v>37</v>
      </c>
      <c r="B101" s="547" t="s">
        <v>81</v>
      </c>
      <c r="C101" s="509">
        <v>27489.4</v>
      </c>
      <c r="D101" s="509">
        <v>1159.8</v>
      </c>
      <c r="E101" s="509"/>
      <c r="F101" s="509">
        <f>E101+D101+C101</f>
        <v>28649.200000000001</v>
      </c>
      <c r="G101" s="509">
        <v>25571.1</v>
      </c>
      <c r="H101" s="509">
        <v>1159.8</v>
      </c>
      <c r="I101" s="509"/>
      <c r="J101" s="509">
        <f>I101+H101+G101</f>
        <v>26730.899999999998</v>
      </c>
      <c r="K101" s="510">
        <f>J101*100/F101</f>
        <v>93.304176032838612</v>
      </c>
      <c r="L101" s="489" t="s">
        <v>407</v>
      </c>
      <c r="M101" s="423">
        <f>9556.7+2688.8+172.6+1474.5+454.5+500.3+138.4+204.4+9+349.8+147.85+22.53</f>
        <v>15719.38</v>
      </c>
      <c r="N101" s="742" t="e">
        <f>M101+#REF!+M103+M106</f>
        <v>#REF!</v>
      </c>
      <c r="O101" s="423">
        <f>14554.1+4340.1+260+272.17+762.6+474.4+164.2+576.4+25.4+267.01+29.42+2758.7</f>
        <v>24484.5</v>
      </c>
      <c r="P101" s="737">
        <f>O101+O102+O103+O104+O105+O106</f>
        <v>26730.9</v>
      </c>
      <c r="Q101" s="712">
        <f>J101-P101</f>
        <v>0</v>
      </c>
      <c r="R101" s="735"/>
    </row>
    <row r="102" spans="1:18" s="390" customFormat="1" ht="69" customHeight="1">
      <c r="A102" s="585"/>
      <c r="B102" s="586"/>
      <c r="C102" s="515"/>
      <c r="D102" s="515"/>
      <c r="E102" s="515"/>
      <c r="F102" s="515"/>
      <c r="G102" s="515"/>
      <c r="H102" s="515"/>
      <c r="I102" s="515"/>
      <c r="J102" s="515"/>
      <c r="K102" s="516"/>
      <c r="L102" s="435" t="s">
        <v>370</v>
      </c>
      <c r="M102" s="420"/>
      <c r="N102" s="743"/>
      <c r="O102" s="420">
        <v>10</v>
      </c>
      <c r="P102" s="739"/>
      <c r="Q102" s="740"/>
      <c r="R102" s="735"/>
    </row>
    <row r="103" spans="1:18" s="390" customFormat="1" ht="57" customHeight="1">
      <c r="A103" s="587"/>
      <c r="B103" s="586"/>
      <c r="C103" s="515"/>
      <c r="D103" s="515"/>
      <c r="E103" s="515"/>
      <c r="F103" s="515"/>
      <c r="G103" s="515"/>
      <c r="H103" s="515"/>
      <c r="I103" s="515"/>
      <c r="J103" s="515"/>
      <c r="K103" s="516"/>
      <c r="L103" s="489" t="s">
        <v>404</v>
      </c>
      <c r="M103" s="420">
        <f>271+50</f>
        <v>321</v>
      </c>
      <c r="N103" s="743"/>
      <c r="O103" s="460">
        <v>459.9</v>
      </c>
      <c r="P103" s="739"/>
      <c r="Q103" s="734"/>
      <c r="R103" s="736"/>
    </row>
    <row r="104" spans="1:18" s="390" customFormat="1" ht="57" customHeight="1">
      <c r="A104" s="587"/>
      <c r="B104" s="586"/>
      <c r="C104" s="515"/>
      <c r="D104" s="515"/>
      <c r="E104" s="515"/>
      <c r="F104" s="515"/>
      <c r="G104" s="515"/>
      <c r="H104" s="515"/>
      <c r="I104" s="515"/>
      <c r="J104" s="515"/>
      <c r="K104" s="516"/>
      <c r="L104" s="489" t="s">
        <v>405</v>
      </c>
      <c r="M104" s="420"/>
      <c r="N104" s="743"/>
      <c r="O104" s="460">
        <v>100</v>
      </c>
      <c r="P104" s="739"/>
      <c r="Q104" s="734"/>
      <c r="R104" s="736"/>
    </row>
    <row r="105" spans="1:18" s="390" customFormat="1" ht="94.5" customHeight="1">
      <c r="A105" s="587"/>
      <c r="B105" s="586"/>
      <c r="C105" s="515"/>
      <c r="D105" s="515"/>
      <c r="E105" s="515"/>
      <c r="F105" s="515"/>
      <c r="G105" s="515"/>
      <c r="H105" s="515"/>
      <c r="I105" s="515"/>
      <c r="J105" s="515"/>
      <c r="K105" s="516"/>
      <c r="L105" s="489" t="s">
        <v>462</v>
      </c>
      <c r="M105" s="420"/>
      <c r="N105" s="743"/>
      <c r="O105" s="460">
        <f>605.6+554.2</f>
        <v>1159.8000000000002</v>
      </c>
      <c r="P105" s="739"/>
      <c r="Q105" s="734"/>
      <c r="R105" s="736"/>
    </row>
    <row r="106" spans="1:18" s="390" customFormat="1" ht="187.5" customHeight="1">
      <c r="A106" s="587"/>
      <c r="B106" s="586"/>
      <c r="C106" s="515"/>
      <c r="D106" s="515"/>
      <c r="E106" s="515"/>
      <c r="F106" s="515"/>
      <c r="G106" s="515"/>
      <c r="H106" s="515"/>
      <c r="I106" s="515"/>
      <c r="J106" s="515"/>
      <c r="K106" s="516"/>
      <c r="L106" s="435" t="s">
        <v>406</v>
      </c>
      <c r="M106" s="434">
        <f>94.12+11.9</f>
        <v>106.02000000000001</v>
      </c>
      <c r="N106" s="744"/>
      <c r="O106" s="413">
        <f>87.65+33+17.85+151.2+88+94.2+44.8</f>
        <v>516.69999999999993</v>
      </c>
      <c r="P106" s="738"/>
      <c r="Q106" s="741"/>
      <c r="R106" s="736"/>
    </row>
    <row r="107" spans="1:18" s="390" customFormat="1" ht="167.25" customHeight="1">
      <c r="A107" s="414" t="s">
        <v>39</v>
      </c>
      <c r="B107" s="435" t="s">
        <v>74</v>
      </c>
      <c r="C107" s="522">
        <v>18</v>
      </c>
      <c r="D107" s="522"/>
      <c r="E107" s="522"/>
      <c r="F107" s="522">
        <f>E107+D107+C107</f>
        <v>18</v>
      </c>
      <c r="G107" s="522">
        <v>17.899999999999999</v>
      </c>
      <c r="H107" s="522"/>
      <c r="I107" s="522"/>
      <c r="J107" s="522">
        <f>G107+H107+I107</f>
        <v>17.899999999999999</v>
      </c>
      <c r="K107" s="523">
        <f>J107/F107*100</f>
        <v>99.444444444444429</v>
      </c>
      <c r="L107" s="416" t="s">
        <v>395</v>
      </c>
      <c r="M107" s="425">
        <f>4+3+3</f>
        <v>10</v>
      </c>
      <c r="N107" s="389"/>
      <c r="O107" s="431">
        <f>4+1.9+2+7+3</f>
        <v>17.899999999999999</v>
      </c>
      <c r="P107" s="505"/>
      <c r="Q107" s="501"/>
    </row>
    <row r="108" spans="1:18" s="390" customFormat="1" ht="123.75" customHeight="1">
      <c r="A108" s="436" t="s">
        <v>40</v>
      </c>
      <c r="B108" s="524" t="s">
        <v>75</v>
      </c>
      <c r="C108" s="522">
        <f t="shared" ref="C108:J108" si="3">C109+C110+C111+C112</f>
        <v>73.3</v>
      </c>
      <c r="D108" s="522">
        <f t="shared" si="3"/>
        <v>0</v>
      </c>
      <c r="E108" s="522">
        <f t="shared" si="3"/>
        <v>0</v>
      </c>
      <c r="F108" s="522">
        <f t="shared" si="3"/>
        <v>73.3</v>
      </c>
      <c r="G108" s="522">
        <f>G109+G110+G111+G112</f>
        <v>73.3</v>
      </c>
      <c r="H108" s="522">
        <f t="shared" si="3"/>
        <v>0</v>
      </c>
      <c r="I108" s="522">
        <f t="shared" si="3"/>
        <v>0</v>
      </c>
      <c r="J108" s="522">
        <f t="shared" si="3"/>
        <v>73.3</v>
      </c>
      <c r="K108" s="523">
        <f>J108*100/F108</f>
        <v>100</v>
      </c>
      <c r="L108" s="416"/>
      <c r="M108" s="388"/>
      <c r="N108" s="389"/>
      <c r="O108" s="388"/>
      <c r="P108" s="499"/>
      <c r="Q108" s="501"/>
    </row>
    <row r="109" spans="1:18" s="390" customFormat="1" ht="112.5" customHeight="1">
      <c r="A109" s="437" t="s">
        <v>66</v>
      </c>
      <c r="B109" s="588" t="s">
        <v>9</v>
      </c>
      <c r="C109" s="481">
        <v>16.2</v>
      </c>
      <c r="D109" s="481"/>
      <c r="E109" s="481"/>
      <c r="F109" s="522">
        <f>E109+D109+C109</f>
        <v>16.2</v>
      </c>
      <c r="G109" s="481">
        <v>16.2</v>
      </c>
      <c r="H109" s="481"/>
      <c r="I109" s="481"/>
      <c r="J109" s="522">
        <f>I109+H109+G109</f>
        <v>16.2</v>
      </c>
      <c r="K109" s="523">
        <f>J109*100/F109</f>
        <v>100</v>
      </c>
      <c r="L109" s="416" t="s">
        <v>379</v>
      </c>
      <c r="M109" s="450">
        <v>1.8</v>
      </c>
      <c r="N109" s="451">
        <f>M109+M110+M111+M112</f>
        <v>74.100000000000009</v>
      </c>
      <c r="O109" s="464">
        <f>1.5+14.7</f>
        <v>16.2</v>
      </c>
      <c r="P109" s="494">
        <f>O109+O110+O111+O112</f>
        <v>73.3</v>
      </c>
      <c r="Q109" s="499">
        <f>J108-P109</f>
        <v>0</v>
      </c>
    </row>
    <row r="110" spans="1:18" s="390" customFormat="1" ht="61.5" customHeight="1">
      <c r="A110" s="438" t="s">
        <v>67</v>
      </c>
      <c r="B110" s="588" t="s">
        <v>48</v>
      </c>
      <c r="C110" s="481">
        <v>25.5</v>
      </c>
      <c r="D110" s="481"/>
      <c r="E110" s="481"/>
      <c r="F110" s="522">
        <f>E110+D110+C110</f>
        <v>25.5</v>
      </c>
      <c r="G110" s="481">
        <v>25.5</v>
      </c>
      <c r="H110" s="481"/>
      <c r="I110" s="481"/>
      <c r="J110" s="522">
        <f>I110+H110+G110</f>
        <v>25.5</v>
      </c>
      <c r="K110" s="523">
        <f>J110*100/F110</f>
        <v>100</v>
      </c>
      <c r="L110" s="416" t="s">
        <v>380</v>
      </c>
      <c r="M110" s="460">
        <v>49.2</v>
      </c>
      <c r="N110" s="419"/>
      <c r="O110" s="460">
        <v>25.5</v>
      </c>
      <c r="P110" s="495"/>
      <c r="Q110" s="501"/>
    </row>
    <row r="111" spans="1:18" s="390" customFormat="1" ht="107.25" customHeight="1">
      <c r="A111" s="424" t="s">
        <v>68</v>
      </c>
      <c r="B111" s="428" t="s">
        <v>10</v>
      </c>
      <c r="C111" s="481">
        <v>28.9</v>
      </c>
      <c r="D111" s="481"/>
      <c r="E111" s="481"/>
      <c r="F111" s="522">
        <f>E111+D111+C111</f>
        <v>28.9</v>
      </c>
      <c r="G111" s="481">
        <v>28.9</v>
      </c>
      <c r="H111" s="481"/>
      <c r="I111" s="481"/>
      <c r="J111" s="522">
        <f>I111+H111+G111</f>
        <v>28.9</v>
      </c>
      <c r="K111" s="523">
        <f>J111*100/F111</f>
        <v>100</v>
      </c>
      <c r="L111" s="416" t="s">
        <v>381</v>
      </c>
      <c r="M111" s="413">
        <v>20.399999999999999</v>
      </c>
      <c r="N111" s="452"/>
      <c r="O111" s="460">
        <v>28.9</v>
      </c>
      <c r="P111" s="495"/>
      <c r="Q111" s="501"/>
    </row>
    <row r="112" spans="1:18" s="390" customFormat="1" ht="108" customHeight="1">
      <c r="A112" s="424" t="s">
        <v>69</v>
      </c>
      <c r="B112" s="428" t="s">
        <v>11</v>
      </c>
      <c r="C112" s="481">
        <v>2.7</v>
      </c>
      <c r="D112" s="481"/>
      <c r="E112" s="481"/>
      <c r="F112" s="522">
        <f>E112+D112+C112</f>
        <v>2.7</v>
      </c>
      <c r="G112" s="481">
        <v>2.7</v>
      </c>
      <c r="H112" s="481"/>
      <c r="I112" s="481"/>
      <c r="J112" s="522">
        <f>I112+H112+G112</f>
        <v>2.7</v>
      </c>
      <c r="K112" s="523">
        <f>J112*100/F112</f>
        <v>100</v>
      </c>
      <c r="L112" s="416" t="s">
        <v>367</v>
      </c>
      <c r="M112" s="388">
        <v>2.7</v>
      </c>
      <c r="N112" s="389"/>
      <c r="O112" s="413">
        <v>2.7</v>
      </c>
      <c r="P112" s="505"/>
      <c r="Q112" s="501"/>
    </row>
    <row r="113" spans="1:22" s="390" customFormat="1" ht="177.75" customHeight="1">
      <c r="A113" s="506" t="s">
        <v>41</v>
      </c>
      <c r="B113" s="415" t="s">
        <v>76</v>
      </c>
      <c r="C113" s="527">
        <v>2762</v>
      </c>
      <c r="D113" s="527">
        <v>1362</v>
      </c>
      <c r="E113" s="527"/>
      <c r="F113" s="527">
        <f>E113+D113+C113</f>
        <v>4124</v>
      </c>
      <c r="G113" s="589">
        <v>2644.1</v>
      </c>
      <c r="H113" s="589"/>
      <c r="I113" s="589"/>
      <c r="J113" s="589">
        <f>G113+I113+H113</f>
        <v>2644.1</v>
      </c>
      <c r="K113" s="510">
        <f>J113/F113*100</f>
        <v>64.114936954413196</v>
      </c>
      <c r="L113" s="511" t="s">
        <v>389</v>
      </c>
      <c r="M113" s="450">
        <f>912.45+239.06+39.1+125.99+21.63+22.81+0.05+1.61</f>
        <v>1362.6999999999998</v>
      </c>
      <c r="N113" s="433" t="e">
        <f>M113+#REF!+#REF!</f>
        <v>#REF!</v>
      </c>
      <c r="O113" s="423">
        <f>1654.68+508.58+164.66+56.8+173.36+52.32+6.4+1.4+25.9</f>
        <v>2644.1000000000008</v>
      </c>
      <c r="P113" s="494">
        <f>J113-O113</f>
        <v>0</v>
      </c>
      <c r="Q113" s="501"/>
      <c r="R113" s="429"/>
      <c r="S113" s="429"/>
      <c r="T113" s="429"/>
      <c r="U113" s="429"/>
      <c r="V113" s="429"/>
    </row>
    <row r="114" spans="1:22" s="390" customFormat="1" ht="94.5" customHeight="1">
      <c r="A114" s="436" t="s">
        <v>42</v>
      </c>
      <c r="B114" s="590" t="s">
        <v>77</v>
      </c>
      <c r="C114" s="509">
        <f>C115+C118</f>
        <v>67497.2</v>
      </c>
      <c r="D114" s="509">
        <f t="shared" ref="D114:J114" si="4">D115+D118</f>
        <v>17345.3</v>
      </c>
      <c r="E114" s="509">
        <f t="shared" si="4"/>
        <v>0</v>
      </c>
      <c r="F114" s="509">
        <f t="shared" si="4"/>
        <v>84842.5</v>
      </c>
      <c r="G114" s="522">
        <f t="shared" si="4"/>
        <v>46392.4</v>
      </c>
      <c r="H114" s="522">
        <f t="shared" si="4"/>
        <v>17345.3</v>
      </c>
      <c r="I114" s="522">
        <f t="shared" si="4"/>
        <v>0</v>
      </c>
      <c r="J114" s="522">
        <f t="shared" si="4"/>
        <v>63737.7</v>
      </c>
      <c r="K114" s="523">
        <f>J114*100/F114</f>
        <v>75.124731119427167</v>
      </c>
      <c r="L114" s="416"/>
      <c r="M114" s="426"/>
      <c r="N114" s="389"/>
      <c r="O114" s="426"/>
      <c r="P114" s="499"/>
      <c r="Q114" s="501"/>
    </row>
    <row r="115" spans="1:22" s="390" customFormat="1" ht="337.5" customHeight="1">
      <c r="A115" s="591" t="s">
        <v>43</v>
      </c>
      <c r="B115" s="565" t="s">
        <v>12</v>
      </c>
      <c r="C115" s="542">
        <v>65745.899999999994</v>
      </c>
      <c r="D115" s="542">
        <v>17345.3</v>
      </c>
      <c r="E115" s="542"/>
      <c r="F115" s="509">
        <f>E115+D115+C115</f>
        <v>83091.199999999997</v>
      </c>
      <c r="G115" s="542">
        <v>44641.1</v>
      </c>
      <c r="H115" s="542">
        <v>17345.3</v>
      </c>
      <c r="I115" s="542"/>
      <c r="J115" s="509">
        <f>I115+H115+G115</f>
        <v>61986.399999999994</v>
      </c>
      <c r="K115" s="510">
        <f>J115*100/F115</f>
        <v>74.600439035662006</v>
      </c>
      <c r="L115" s="558" t="s">
        <v>463</v>
      </c>
      <c r="M115" s="450">
        <f>48.83+276.74+58.04+65.92+50.83+116.02</f>
        <v>616.38</v>
      </c>
      <c r="N115" s="716" t="e">
        <f>M115+#REF!+#REF!+#REF!+#REF!+#REF!+M118</f>
        <v>#REF!</v>
      </c>
      <c r="O115" s="423">
        <f>2550.25+28663.63+415.12</f>
        <v>31629</v>
      </c>
      <c r="P115" s="719">
        <f>O115+O116+O117</f>
        <v>61986.400000000001</v>
      </c>
      <c r="Q115" s="499">
        <f>J115-P115</f>
        <v>0</v>
      </c>
    </row>
    <row r="116" spans="1:22" s="390" customFormat="1" ht="159.75" customHeight="1">
      <c r="A116" s="592"/>
      <c r="B116" s="564"/>
      <c r="C116" s="521"/>
      <c r="D116" s="521"/>
      <c r="E116" s="521"/>
      <c r="F116" s="515"/>
      <c r="G116" s="521"/>
      <c r="H116" s="521"/>
      <c r="I116" s="521"/>
      <c r="J116" s="515"/>
      <c r="K116" s="516"/>
      <c r="L116" s="560" t="s">
        <v>365</v>
      </c>
      <c r="M116" s="460"/>
      <c r="N116" s="717"/>
      <c r="O116" s="420">
        <f>2044.3+1602.9+3738.8+1675.9+5237.3+3046.1</f>
        <v>17345.3</v>
      </c>
      <c r="P116" s="720"/>
      <c r="Q116" s="499"/>
    </row>
    <row r="117" spans="1:22" s="390" customFormat="1" ht="409.5" customHeight="1">
      <c r="A117" s="592"/>
      <c r="B117" s="564"/>
      <c r="C117" s="521"/>
      <c r="D117" s="521"/>
      <c r="E117" s="521"/>
      <c r="F117" s="515"/>
      <c r="G117" s="521"/>
      <c r="H117" s="521"/>
      <c r="I117" s="521"/>
      <c r="J117" s="515"/>
      <c r="K117" s="516"/>
      <c r="L117" s="601" t="s">
        <v>477</v>
      </c>
      <c r="M117" s="460"/>
      <c r="N117" s="717"/>
      <c r="O117" s="471">
        <f>145.52+225.04+779.8+3010.4+682.94+7569.6+598.8</f>
        <v>13012.1</v>
      </c>
      <c r="P117" s="490"/>
      <c r="Q117" s="499"/>
    </row>
    <row r="118" spans="1:22" s="390" customFormat="1" ht="59.25" customHeight="1">
      <c r="A118" s="437" t="s">
        <v>44</v>
      </c>
      <c r="B118" s="588" t="s">
        <v>13</v>
      </c>
      <c r="C118" s="481">
        <v>1751.3</v>
      </c>
      <c r="D118" s="481"/>
      <c r="E118" s="481"/>
      <c r="F118" s="522">
        <f>E118+D118+C118</f>
        <v>1751.3</v>
      </c>
      <c r="G118" s="481">
        <v>1751.3</v>
      </c>
      <c r="H118" s="481"/>
      <c r="I118" s="481"/>
      <c r="J118" s="522">
        <f>I118+H118+G118</f>
        <v>1751.3</v>
      </c>
      <c r="K118" s="523">
        <f>J118*100/F118</f>
        <v>100</v>
      </c>
      <c r="L118" s="416" t="s">
        <v>356</v>
      </c>
      <c r="M118" s="413">
        <v>611.5</v>
      </c>
      <c r="N118" s="718"/>
      <c r="O118" s="388">
        <v>1751.3</v>
      </c>
      <c r="P118" s="499">
        <f>J118-O118</f>
        <v>0</v>
      </c>
      <c r="Q118" s="501"/>
    </row>
    <row r="119" spans="1:22" s="390" customFormat="1" ht="134.25" customHeight="1">
      <c r="A119" s="506" t="s">
        <v>46</v>
      </c>
      <c r="B119" s="721" t="s">
        <v>30</v>
      </c>
      <c r="C119" s="509">
        <v>34573.1</v>
      </c>
      <c r="D119" s="509">
        <v>149840</v>
      </c>
      <c r="E119" s="509"/>
      <c r="F119" s="509">
        <f>E119+D119+C119</f>
        <v>184413.1</v>
      </c>
      <c r="G119" s="509">
        <v>33130.300000000003</v>
      </c>
      <c r="H119" s="509">
        <v>145371.6</v>
      </c>
      <c r="I119" s="509"/>
      <c r="J119" s="509">
        <f>SUM(G119:I119)</f>
        <v>178501.90000000002</v>
      </c>
      <c r="K119" s="510">
        <f>J119*100/F119</f>
        <v>96.794587803144154</v>
      </c>
      <c r="L119" s="511" t="s">
        <v>399</v>
      </c>
      <c r="M119" s="450">
        <f>10429.1+2836.6+17.88+1+111.86+4.1+47.7+70.55+583.06+171.75+89.3+0.8</f>
        <v>14363.699999999999</v>
      </c>
      <c r="N119" s="710" t="e">
        <f>M119+M120+M121+M122+M123+M125+#REF!+#REF!</f>
        <v>#REF!</v>
      </c>
      <c r="O119" s="450">
        <f>13423.5+11.9+4054.4+170.9+54+954.3+144.8+10+40.9+5.4+1.6</f>
        <v>18871.7</v>
      </c>
      <c r="P119" s="719">
        <f>O119+O120+O121+O122+O123+O125+O124+O126</f>
        <v>178501.9</v>
      </c>
      <c r="Q119" s="499">
        <f>J119-P119</f>
        <v>0</v>
      </c>
    </row>
    <row r="120" spans="1:22" s="390" customFormat="1" ht="76.5" customHeight="1">
      <c r="A120" s="512"/>
      <c r="B120" s="722"/>
      <c r="C120" s="515"/>
      <c r="D120" s="515"/>
      <c r="E120" s="515"/>
      <c r="F120" s="515"/>
      <c r="G120" s="515"/>
      <c r="H120" s="515"/>
      <c r="I120" s="515"/>
      <c r="J120" s="515"/>
      <c r="K120" s="516"/>
      <c r="L120" s="529" t="s">
        <v>478</v>
      </c>
      <c r="M120" s="460">
        <v>95040.2</v>
      </c>
      <c r="N120" s="723"/>
      <c r="O120" s="460">
        <v>143588.29999999999</v>
      </c>
      <c r="P120" s="720"/>
      <c r="Q120" s="501"/>
    </row>
    <row r="121" spans="1:22" s="390" customFormat="1" ht="110.25" customHeight="1">
      <c r="A121" s="512"/>
      <c r="B121" s="517"/>
      <c r="C121" s="515"/>
      <c r="D121" s="515"/>
      <c r="E121" s="515"/>
      <c r="F121" s="515"/>
      <c r="G121" s="515"/>
      <c r="H121" s="515"/>
      <c r="I121" s="515"/>
      <c r="J121" s="515"/>
      <c r="K121" s="516"/>
      <c r="L121" s="529" t="s">
        <v>400</v>
      </c>
      <c r="M121" s="460">
        <f>5375+41.08+181.2+1526.71+69.2+19.97+130.15+25.16+22.75+41.65+5.29+0.44</f>
        <v>7438.5999999999985</v>
      </c>
      <c r="N121" s="723"/>
      <c r="O121" s="460">
        <f>7594.4+20.1+2270.7+75.9+35.2+91.8+4.7+27.8+60.3+2+0.7</f>
        <v>10183.6</v>
      </c>
      <c r="P121" s="720"/>
      <c r="Q121" s="501"/>
    </row>
    <row r="122" spans="1:22" s="390" customFormat="1" ht="82.5" customHeight="1">
      <c r="A122" s="512"/>
      <c r="B122" s="517"/>
      <c r="C122" s="515"/>
      <c r="D122" s="515"/>
      <c r="E122" s="515"/>
      <c r="F122" s="515"/>
      <c r="G122" s="515"/>
      <c r="H122" s="515"/>
      <c r="I122" s="515"/>
      <c r="J122" s="515"/>
      <c r="K122" s="516"/>
      <c r="L122" s="529" t="s">
        <v>446</v>
      </c>
      <c r="M122" s="460">
        <v>512.79999999999995</v>
      </c>
      <c r="N122" s="723"/>
      <c r="O122" s="460">
        <v>772.8</v>
      </c>
      <c r="P122" s="720"/>
      <c r="Q122" s="501"/>
    </row>
    <row r="123" spans="1:22" s="390" customFormat="1" ht="52.5" customHeight="1">
      <c r="A123" s="512"/>
      <c r="B123" s="517"/>
      <c r="C123" s="515"/>
      <c r="D123" s="515"/>
      <c r="E123" s="515"/>
      <c r="F123" s="515"/>
      <c r="G123" s="515"/>
      <c r="H123" s="515"/>
      <c r="I123" s="515"/>
      <c r="J123" s="515"/>
      <c r="K123" s="516"/>
      <c r="L123" s="529" t="s">
        <v>403</v>
      </c>
      <c r="M123" s="460">
        <v>563.20000000000005</v>
      </c>
      <c r="N123" s="421"/>
      <c r="O123" s="460">
        <v>724.1</v>
      </c>
      <c r="P123" s="720"/>
      <c r="Q123" s="501"/>
    </row>
    <row r="124" spans="1:22" s="390" customFormat="1" ht="33" customHeight="1">
      <c r="A124" s="512"/>
      <c r="B124" s="517"/>
      <c r="C124" s="515"/>
      <c r="D124" s="515"/>
      <c r="E124" s="515"/>
      <c r="F124" s="515"/>
      <c r="G124" s="515"/>
      <c r="H124" s="515"/>
      <c r="I124" s="515"/>
      <c r="J124" s="515"/>
      <c r="K124" s="516"/>
      <c r="L124" s="529" t="s">
        <v>401</v>
      </c>
      <c r="M124" s="460"/>
      <c r="N124" s="421"/>
      <c r="O124" s="460">
        <v>271.39999999999998</v>
      </c>
      <c r="P124" s="720"/>
      <c r="Q124" s="501"/>
    </row>
    <row r="125" spans="1:22" s="390" customFormat="1" ht="51.75" customHeight="1">
      <c r="A125" s="512"/>
      <c r="B125" s="517"/>
      <c r="C125" s="515"/>
      <c r="D125" s="515"/>
      <c r="E125" s="515"/>
      <c r="F125" s="515"/>
      <c r="G125" s="515"/>
      <c r="H125" s="515"/>
      <c r="I125" s="515"/>
      <c r="J125" s="515"/>
      <c r="K125" s="516"/>
      <c r="L125" s="529" t="s">
        <v>98</v>
      </c>
      <c r="M125" s="460">
        <v>15</v>
      </c>
      <c r="N125" s="421"/>
      <c r="O125" s="413">
        <v>15</v>
      </c>
      <c r="P125" s="724"/>
      <c r="Q125" s="501"/>
    </row>
    <row r="126" spans="1:22" s="390" customFormat="1" ht="84.75" customHeight="1">
      <c r="A126" s="593"/>
      <c r="B126" s="594"/>
      <c r="C126" s="515"/>
      <c r="D126" s="515"/>
      <c r="E126" s="515"/>
      <c r="F126" s="515"/>
      <c r="G126" s="515"/>
      <c r="H126" s="515"/>
      <c r="I126" s="515"/>
      <c r="J126" s="515"/>
      <c r="K126" s="516"/>
      <c r="L126" s="517" t="s">
        <v>402</v>
      </c>
      <c r="M126" s="461"/>
      <c r="N126" s="419"/>
      <c r="O126" s="461">
        <v>4075</v>
      </c>
      <c r="P126" s="490"/>
      <c r="Q126" s="501"/>
    </row>
    <row r="127" spans="1:22" s="390" customFormat="1" ht="65.25" customHeight="1">
      <c r="A127" s="595" t="s">
        <v>47</v>
      </c>
      <c r="B127" s="524" t="s">
        <v>78</v>
      </c>
      <c r="C127" s="522">
        <v>149.6</v>
      </c>
      <c r="D127" s="522">
        <v>14.8</v>
      </c>
      <c r="E127" s="522">
        <v>1469.9</v>
      </c>
      <c r="F127" s="522">
        <f>C127+D127+E127</f>
        <v>1634.3000000000002</v>
      </c>
      <c r="G127" s="522">
        <v>149.6</v>
      </c>
      <c r="H127" s="522">
        <v>14.8</v>
      </c>
      <c r="I127" s="522">
        <v>1469.9</v>
      </c>
      <c r="J127" s="522">
        <f>I127+H127+G127</f>
        <v>1634.3</v>
      </c>
      <c r="K127" s="523">
        <f>J127*100/F127</f>
        <v>99.999999999999986</v>
      </c>
      <c r="L127" s="416" t="s">
        <v>396</v>
      </c>
      <c r="M127" s="388">
        <v>2741.2</v>
      </c>
      <c r="N127" s="389"/>
      <c r="O127" s="388">
        <v>1634.3</v>
      </c>
      <c r="P127" s="499"/>
      <c r="Q127" s="501"/>
    </row>
    <row r="128" spans="1:22" s="390" customFormat="1" ht="319.5" customHeight="1">
      <c r="A128" s="725" t="s">
        <v>49</v>
      </c>
      <c r="B128" s="727" t="s">
        <v>87</v>
      </c>
      <c r="C128" s="509">
        <v>3096.9</v>
      </c>
      <c r="D128" s="509">
        <v>692</v>
      </c>
      <c r="E128" s="509"/>
      <c r="F128" s="509">
        <f>E128+D128+C128</f>
        <v>3788.9</v>
      </c>
      <c r="G128" s="706">
        <v>2866.3</v>
      </c>
      <c r="H128" s="706">
        <v>691.1</v>
      </c>
      <c r="I128" s="729"/>
      <c r="J128" s="706">
        <f>I128+H128+G128</f>
        <v>3557.4</v>
      </c>
      <c r="K128" s="708">
        <f>J128*100/F128</f>
        <v>93.890047243263211</v>
      </c>
      <c r="L128" s="558" t="s">
        <v>377</v>
      </c>
      <c r="M128" s="450">
        <f>152.6+73.5+1208.5+2.5+37.2+7.5+71.3+3.9+205.2+0.1</f>
        <v>1762.3</v>
      </c>
      <c r="N128" s="710">
        <f>M128+M129</f>
        <v>2234.1999999999998</v>
      </c>
      <c r="O128" s="450">
        <f>537.7+58.8+421.1+1201.6+44+1.4+14+436.5+13.1+108.6+6+16.5+7</f>
        <v>2866.2999999999997</v>
      </c>
      <c r="P128" s="712">
        <f>O128+O129</f>
        <v>3557.3999999999996</v>
      </c>
      <c r="Q128" s="714">
        <f>J128-P128</f>
        <v>0</v>
      </c>
    </row>
    <row r="129" spans="1:26" s="390" customFormat="1" ht="72.75" customHeight="1">
      <c r="A129" s="726"/>
      <c r="B129" s="728"/>
      <c r="C129" s="548"/>
      <c r="D129" s="548"/>
      <c r="E129" s="548"/>
      <c r="F129" s="548"/>
      <c r="G129" s="707"/>
      <c r="H129" s="707"/>
      <c r="I129" s="730"/>
      <c r="J129" s="707"/>
      <c r="K129" s="709"/>
      <c r="L129" s="596" t="s">
        <v>378</v>
      </c>
      <c r="M129" s="413">
        <v>471.9</v>
      </c>
      <c r="N129" s="711"/>
      <c r="O129" s="413">
        <v>691.1</v>
      </c>
      <c r="P129" s="713"/>
      <c r="Q129" s="714"/>
    </row>
    <row r="130" spans="1:26" s="390" customFormat="1" ht="142.5" customHeight="1">
      <c r="A130" s="436" t="s">
        <v>50</v>
      </c>
      <c r="B130" s="524" t="s">
        <v>79</v>
      </c>
      <c r="C130" s="522">
        <f t="shared" ref="C130:J130" si="5">C131+C134+C136</f>
        <v>20394.400000000001</v>
      </c>
      <c r="D130" s="522">
        <f t="shared" si="5"/>
        <v>19647.099999999999</v>
      </c>
      <c r="E130" s="522">
        <f t="shared" si="5"/>
        <v>5970.7</v>
      </c>
      <c r="F130" s="522">
        <f t="shared" si="5"/>
        <v>46012.2</v>
      </c>
      <c r="G130" s="522">
        <f t="shared" si="5"/>
        <v>20120.099999999999</v>
      </c>
      <c r="H130" s="522">
        <f t="shared" si="5"/>
        <v>19315.599999999999</v>
      </c>
      <c r="I130" s="522">
        <f t="shared" si="5"/>
        <v>5970.7</v>
      </c>
      <c r="J130" s="522">
        <f t="shared" si="5"/>
        <v>45406.399999999994</v>
      </c>
      <c r="K130" s="523">
        <f t="shared" ref="K130:K137" si="6">J130*100/F130</f>
        <v>98.683392665423497</v>
      </c>
      <c r="L130" s="597"/>
      <c r="M130" s="450"/>
      <c r="N130" s="439" t="e">
        <f>M131+#REF!+M136</f>
        <v>#REF!</v>
      </c>
      <c r="O130" s="388"/>
      <c r="P130" s="499"/>
      <c r="Q130" s="501"/>
    </row>
    <row r="131" spans="1:26" s="390" customFormat="1" ht="134.25" customHeight="1">
      <c r="A131" s="715" t="s">
        <v>51</v>
      </c>
      <c r="B131" s="534" t="s">
        <v>14</v>
      </c>
      <c r="C131" s="530">
        <v>3969.4</v>
      </c>
      <c r="D131" s="530">
        <v>19647.099999999999</v>
      </c>
      <c r="E131" s="530">
        <v>5970.7</v>
      </c>
      <c r="F131" s="531">
        <f>E131+D131+C131</f>
        <v>29587.200000000001</v>
      </c>
      <c r="G131" s="530">
        <v>3850.3</v>
      </c>
      <c r="H131" s="530">
        <v>19315.599999999999</v>
      </c>
      <c r="I131" s="530">
        <v>5970.7</v>
      </c>
      <c r="J131" s="531">
        <f>I131+H131+G131</f>
        <v>29136.6</v>
      </c>
      <c r="K131" s="516">
        <f t="shared" si="6"/>
        <v>98.47704412719014</v>
      </c>
      <c r="L131" s="575" t="s">
        <v>366</v>
      </c>
      <c r="M131" s="471">
        <f>38.1+140+20</f>
        <v>198.1</v>
      </c>
      <c r="N131" s="421"/>
      <c r="O131" s="450">
        <f>36.5+343+60</f>
        <v>439.5</v>
      </c>
      <c r="P131" s="494">
        <f>O131+O132+O134+O135+O133</f>
        <v>29136.6</v>
      </c>
      <c r="Q131" s="499">
        <f>J130-P131-O136</f>
        <v>0</v>
      </c>
      <c r="R131" s="440"/>
    </row>
    <row r="132" spans="1:26" s="390" customFormat="1" ht="333" customHeight="1">
      <c r="A132" s="715"/>
      <c r="B132" s="534"/>
      <c r="C132" s="530"/>
      <c r="D132" s="530"/>
      <c r="E132" s="530"/>
      <c r="F132" s="531"/>
      <c r="G132" s="530"/>
      <c r="H132" s="530"/>
      <c r="I132" s="530"/>
      <c r="J132" s="531"/>
      <c r="K132" s="533"/>
      <c r="L132" s="544" t="s">
        <v>464</v>
      </c>
      <c r="M132" s="471"/>
      <c r="N132" s="421"/>
      <c r="O132" s="460">
        <f>34.6+1274.9+80+152.7+96</f>
        <v>1638.2</v>
      </c>
      <c r="P132" s="495"/>
      <c r="Q132" s="499"/>
      <c r="R132" s="440"/>
    </row>
    <row r="133" spans="1:26" s="390" customFormat="1" ht="138" customHeight="1">
      <c r="A133" s="715"/>
      <c r="B133" s="534"/>
      <c r="C133" s="530"/>
      <c r="D133" s="530"/>
      <c r="E133" s="530"/>
      <c r="F133" s="531"/>
      <c r="G133" s="530"/>
      <c r="H133" s="530"/>
      <c r="I133" s="530"/>
      <c r="J133" s="531"/>
      <c r="K133" s="533"/>
      <c r="L133" s="544" t="s">
        <v>397</v>
      </c>
      <c r="M133" s="471"/>
      <c r="N133" s="421"/>
      <c r="O133" s="460">
        <f>2571.6+63</f>
        <v>2634.6</v>
      </c>
      <c r="P133" s="495"/>
      <c r="Q133" s="499"/>
      <c r="R133" s="440"/>
    </row>
    <row r="134" spans="1:26" s="390" customFormat="1" ht="99.75" customHeight="1">
      <c r="A134" s="715"/>
      <c r="B134" s="534"/>
      <c r="C134" s="530"/>
      <c r="D134" s="530"/>
      <c r="E134" s="530"/>
      <c r="F134" s="531"/>
      <c r="G134" s="530"/>
      <c r="H134" s="530"/>
      <c r="I134" s="530"/>
      <c r="J134" s="531"/>
      <c r="K134" s="533"/>
      <c r="L134" s="583" t="s">
        <v>398</v>
      </c>
      <c r="M134" s="460"/>
      <c r="N134" s="421"/>
      <c r="O134" s="460">
        <f>16802+1088.7+441.6</f>
        <v>18332.3</v>
      </c>
      <c r="P134" s="495"/>
      <c r="Q134" s="501"/>
    </row>
    <row r="135" spans="1:26" s="390" customFormat="1" ht="99.75" customHeight="1">
      <c r="A135" s="592"/>
      <c r="B135" s="534"/>
      <c r="C135" s="530"/>
      <c r="D135" s="530"/>
      <c r="E135" s="530"/>
      <c r="F135" s="531"/>
      <c r="G135" s="554"/>
      <c r="H135" s="554"/>
      <c r="I135" s="554"/>
      <c r="J135" s="555"/>
      <c r="K135" s="579"/>
      <c r="L135" s="598" t="s">
        <v>479</v>
      </c>
      <c r="M135" s="461"/>
      <c r="N135" s="419"/>
      <c r="O135" s="461">
        <f>61+60.3+5970.7</f>
        <v>6092</v>
      </c>
      <c r="P135" s="495"/>
      <c r="Q135" s="501"/>
    </row>
    <row r="136" spans="1:26" ht="135.75" customHeight="1">
      <c r="A136" s="599" t="s">
        <v>52</v>
      </c>
      <c r="B136" s="557" t="s">
        <v>5</v>
      </c>
      <c r="C136" s="526">
        <v>16425</v>
      </c>
      <c r="D136" s="526"/>
      <c r="E136" s="526"/>
      <c r="F136" s="527">
        <f>E136+D136+C136</f>
        <v>16425</v>
      </c>
      <c r="G136" s="600">
        <v>16269.8</v>
      </c>
      <c r="H136" s="600"/>
      <c r="I136" s="600"/>
      <c r="J136" s="589">
        <f>I136+H136+G136</f>
        <v>16269.8</v>
      </c>
      <c r="K136" s="510">
        <f t="shared" si="6"/>
        <v>99.055098934550983</v>
      </c>
      <c r="L136" s="474" t="s">
        <v>445</v>
      </c>
      <c r="M136" s="413">
        <f>8128.45+41.23+2+2331.96+81.6+206.1+77.1+417.1+153.1+243.1+88.56+2.3+3.1</f>
        <v>11775.7</v>
      </c>
      <c r="N136" s="452"/>
      <c r="O136" s="461">
        <f>11567.1+13.2+3344.4+112.3+246.2+200.1+375.5+197.8+1.2+19+186+7</f>
        <v>16269.800000000001</v>
      </c>
      <c r="P136" s="495"/>
    </row>
    <row r="137" spans="1:26" ht="91.5" customHeight="1">
      <c r="A137" s="414" t="s">
        <v>53</v>
      </c>
      <c r="B137" s="415" t="s">
        <v>80</v>
      </c>
      <c r="C137" s="522">
        <v>50</v>
      </c>
      <c r="D137" s="522"/>
      <c r="E137" s="522"/>
      <c r="F137" s="522">
        <f>E137+D137+C137</f>
        <v>50</v>
      </c>
      <c r="G137" s="522">
        <v>50</v>
      </c>
      <c r="H137" s="522"/>
      <c r="I137" s="522"/>
      <c r="J137" s="522">
        <f>SUM(G137:I137)</f>
        <v>50</v>
      </c>
      <c r="K137" s="523">
        <f t="shared" si="6"/>
        <v>100</v>
      </c>
      <c r="L137" s="550" t="s">
        <v>393</v>
      </c>
      <c r="O137" s="388">
        <v>50</v>
      </c>
    </row>
    <row r="138" spans="1:26" s="427" customFormat="1" ht="40.5" customHeight="1">
      <c r="A138" s="702" t="s">
        <v>54</v>
      </c>
      <c r="B138" s="703"/>
      <c r="C138" s="482">
        <f t="shared" ref="C138:J138" si="7">C114+C130+C128+C101+C127+C107+C108+C53+C89+C113+C82+C54+C17+C119+C137+C16+C7</f>
        <v>818227.5</v>
      </c>
      <c r="D138" s="482">
        <f t="shared" si="7"/>
        <v>1237679.8</v>
      </c>
      <c r="E138" s="482">
        <f t="shared" si="7"/>
        <v>144849.00000000003</v>
      </c>
      <c r="F138" s="482">
        <f t="shared" si="7"/>
        <v>2200756.3000000003</v>
      </c>
      <c r="G138" s="482">
        <f t="shared" si="7"/>
        <v>731659.7</v>
      </c>
      <c r="H138" s="482">
        <f t="shared" si="7"/>
        <v>1083378.6000000001</v>
      </c>
      <c r="I138" s="482">
        <f t="shared" si="7"/>
        <v>142792.80000000002</v>
      </c>
      <c r="J138" s="482">
        <f t="shared" si="7"/>
        <v>1957831.0999999999</v>
      </c>
      <c r="K138" s="483">
        <f>J138/F138*100</f>
        <v>88.961740107253107</v>
      </c>
      <c r="L138" s="463"/>
      <c r="M138" s="388"/>
      <c r="N138" s="389"/>
      <c r="O138" s="388"/>
      <c r="P138" s="499"/>
      <c r="Q138" s="501"/>
      <c r="R138" s="441"/>
      <c r="S138" s="441"/>
      <c r="T138" s="441"/>
      <c r="U138" s="441"/>
      <c r="V138" s="441"/>
      <c r="W138" s="441"/>
      <c r="X138" s="441"/>
      <c r="Y138" s="441"/>
      <c r="Z138" s="441"/>
    </row>
    <row r="139" spans="1:26" ht="27.75" customHeight="1">
      <c r="A139" s="442"/>
      <c r="B139" s="443"/>
      <c r="C139" s="484"/>
      <c r="D139" s="484"/>
      <c r="E139" s="484"/>
      <c r="F139" s="484"/>
      <c r="G139" s="484"/>
      <c r="H139" s="484"/>
      <c r="I139" s="484"/>
      <c r="J139" s="484"/>
      <c r="K139" s="485"/>
      <c r="L139" s="442"/>
    </row>
    <row r="140" spans="1:26" ht="27.75" customHeight="1">
      <c r="A140" s="442"/>
      <c r="B140" s="443"/>
      <c r="C140" s="484"/>
      <c r="D140" s="484"/>
      <c r="E140" s="484"/>
      <c r="F140" s="484"/>
      <c r="G140" s="484"/>
      <c r="H140" s="484"/>
      <c r="I140" s="484"/>
      <c r="J140" s="484"/>
      <c r="K140" s="485"/>
      <c r="L140" s="442"/>
    </row>
    <row r="141" spans="1:26" ht="82.5" customHeight="1">
      <c r="A141" s="704" t="s">
        <v>358</v>
      </c>
      <c r="B141" s="704"/>
      <c r="C141" s="704"/>
      <c r="D141" s="704"/>
      <c r="E141" s="704"/>
      <c r="F141" s="704"/>
      <c r="G141" s="444"/>
      <c r="H141" s="444"/>
      <c r="I141" s="444"/>
      <c r="J141" s="444"/>
      <c r="K141" s="486"/>
      <c r="L141" s="442"/>
    </row>
    <row r="142" spans="1:26">
      <c r="A142" s="704"/>
      <c r="B142" s="704"/>
      <c r="C142" s="704"/>
      <c r="D142" s="704"/>
      <c r="E142" s="704"/>
      <c r="F142" s="704"/>
      <c r="G142" s="444"/>
      <c r="H142" s="444"/>
      <c r="I142" s="444"/>
      <c r="J142" s="444"/>
      <c r="K142" s="486"/>
      <c r="L142" s="442"/>
    </row>
    <row r="143" spans="1:26">
      <c r="A143" s="704"/>
      <c r="B143" s="704"/>
      <c r="C143" s="704"/>
      <c r="D143" s="704"/>
      <c r="E143" s="704"/>
      <c r="F143" s="704"/>
    </row>
    <row r="144" spans="1:26" ht="20.25" customHeight="1">
      <c r="A144" s="704"/>
      <c r="B144" s="704"/>
      <c r="C144" s="704"/>
      <c r="D144" s="704"/>
      <c r="E144" s="704"/>
      <c r="F144" s="704"/>
      <c r="L144" s="391" t="s">
        <v>56</v>
      </c>
    </row>
    <row r="145" spans="1:26" ht="48.75" customHeight="1">
      <c r="D145" s="488"/>
      <c r="E145" s="488"/>
      <c r="L145" s="403"/>
    </row>
    <row r="146" spans="1:26">
      <c r="A146" s="391" t="s">
        <v>57</v>
      </c>
      <c r="D146" s="488"/>
      <c r="E146" s="488"/>
      <c r="L146" s="446"/>
    </row>
    <row r="147" spans="1:26">
      <c r="A147" s="391" t="s">
        <v>70</v>
      </c>
      <c r="D147" s="488"/>
      <c r="E147" s="488"/>
      <c r="L147" s="446"/>
    </row>
    <row r="148" spans="1:26" s="388" customFormat="1">
      <c r="A148" s="391" t="s">
        <v>357</v>
      </c>
      <c r="B148" s="391"/>
      <c r="C148" s="394"/>
      <c r="D148" s="488"/>
      <c r="E148" s="488"/>
      <c r="F148" s="395"/>
      <c r="G148" s="394"/>
      <c r="H148" s="394"/>
      <c r="I148" s="394"/>
      <c r="J148" s="395"/>
      <c r="K148" s="487"/>
      <c r="L148" s="445"/>
      <c r="N148" s="389"/>
      <c r="P148" s="499"/>
      <c r="Q148" s="501"/>
      <c r="R148" s="390"/>
      <c r="S148" s="390"/>
      <c r="T148" s="390"/>
      <c r="U148" s="390"/>
      <c r="V148" s="390"/>
      <c r="W148" s="390"/>
      <c r="X148" s="390"/>
      <c r="Y148" s="390"/>
      <c r="Z148" s="390"/>
    </row>
    <row r="149" spans="1:26" s="388" customFormat="1" ht="24.75" customHeight="1">
      <c r="A149" s="705" t="s">
        <v>110</v>
      </c>
      <c r="B149" s="705"/>
      <c r="C149" s="394"/>
      <c r="D149" s="488"/>
      <c r="E149" s="488"/>
      <c r="F149" s="395"/>
      <c r="G149" s="394"/>
      <c r="H149" s="394"/>
      <c r="I149" s="394"/>
      <c r="J149" s="395"/>
      <c r="K149" s="487"/>
      <c r="L149" s="447"/>
      <c r="N149" s="389"/>
      <c r="P149" s="499"/>
      <c r="Q149" s="501"/>
      <c r="R149" s="390"/>
      <c r="S149" s="390"/>
      <c r="T149" s="390"/>
      <c r="U149" s="390"/>
      <c r="V149" s="390"/>
      <c r="W149" s="390"/>
      <c r="X149" s="390"/>
      <c r="Y149" s="390"/>
      <c r="Z149" s="390"/>
    </row>
    <row r="150" spans="1:26" s="388" customFormat="1">
      <c r="A150" s="391"/>
      <c r="B150" s="391"/>
      <c r="C150" s="394"/>
      <c r="D150" s="488"/>
      <c r="E150" s="488"/>
      <c r="F150" s="395"/>
      <c r="G150" s="394"/>
      <c r="H150" s="394"/>
      <c r="I150" s="394"/>
      <c r="J150" s="395"/>
      <c r="K150" s="487"/>
      <c r="L150" s="391"/>
      <c r="N150" s="389"/>
      <c r="P150" s="499"/>
      <c r="Q150" s="501"/>
      <c r="R150" s="390"/>
      <c r="S150" s="390"/>
      <c r="T150" s="390"/>
      <c r="U150" s="390"/>
      <c r="V150" s="390"/>
      <c r="W150" s="390"/>
      <c r="X150" s="390"/>
      <c r="Y150" s="390"/>
      <c r="Z150" s="390"/>
    </row>
    <row r="151" spans="1:26" s="388" customFormat="1">
      <c r="A151" s="391"/>
      <c r="B151" s="391"/>
      <c r="C151" s="394"/>
      <c r="D151" s="488"/>
      <c r="E151" s="488"/>
      <c r="F151" s="395"/>
      <c r="G151" s="394"/>
      <c r="H151" s="394"/>
      <c r="I151" s="394"/>
      <c r="J151" s="395"/>
      <c r="K151" s="487"/>
      <c r="L151" s="391"/>
      <c r="N151" s="389"/>
      <c r="P151" s="499"/>
      <c r="Q151" s="501"/>
      <c r="R151" s="390"/>
      <c r="S151" s="390"/>
      <c r="T151" s="390"/>
      <c r="U151" s="390"/>
      <c r="V151" s="390"/>
      <c r="W151" s="390"/>
      <c r="X151" s="390"/>
      <c r="Y151" s="390"/>
      <c r="Z151" s="390"/>
    </row>
    <row r="152" spans="1:26" s="388" customFormat="1">
      <c r="A152" s="391"/>
      <c r="B152" s="391"/>
      <c r="C152" s="394"/>
      <c r="D152" s="488"/>
      <c r="E152" s="488"/>
      <c r="F152" s="395"/>
      <c r="G152" s="394"/>
      <c r="H152" s="394"/>
      <c r="I152" s="394"/>
      <c r="J152" s="395"/>
      <c r="K152" s="487"/>
      <c r="L152" s="446"/>
      <c r="N152" s="389"/>
      <c r="P152" s="499"/>
      <c r="Q152" s="501"/>
      <c r="R152" s="390"/>
      <c r="S152" s="390"/>
      <c r="T152" s="390"/>
      <c r="U152" s="390"/>
      <c r="V152" s="390"/>
      <c r="W152" s="390"/>
      <c r="X152" s="390"/>
      <c r="Y152" s="390"/>
      <c r="Z152" s="390"/>
    </row>
    <row r="153" spans="1:26" s="388" customFormat="1">
      <c r="A153" s="391"/>
      <c r="B153" s="391"/>
      <c r="C153" s="394"/>
      <c r="D153" s="488"/>
      <c r="E153" s="488"/>
      <c r="F153" s="395"/>
      <c r="G153" s="394"/>
      <c r="H153" s="394"/>
      <c r="I153" s="394"/>
      <c r="J153" s="395"/>
      <c r="K153" s="487"/>
      <c r="L153" s="446"/>
      <c r="N153" s="389"/>
      <c r="P153" s="499"/>
      <c r="Q153" s="501"/>
      <c r="R153" s="390"/>
      <c r="S153" s="390"/>
      <c r="T153" s="390"/>
      <c r="U153" s="390"/>
      <c r="V153" s="390"/>
      <c r="W153" s="390"/>
      <c r="X153" s="390"/>
      <c r="Y153" s="390"/>
      <c r="Z153" s="390"/>
    </row>
    <row r="154" spans="1:26" s="388" customFormat="1">
      <c r="A154" s="391"/>
      <c r="B154" s="391"/>
      <c r="C154" s="394"/>
      <c r="D154" s="488"/>
      <c r="E154" s="488"/>
      <c r="F154" s="395"/>
      <c r="G154" s="394"/>
      <c r="H154" s="394"/>
      <c r="I154" s="394"/>
      <c r="J154" s="395"/>
      <c r="K154" s="487"/>
      <c r="L154" s="391"/>
      <c r="N154" s="389"/>
      <c r="P154" s="499"/>
      <c r="Q154" s="501"/>
      <c r="R154" s="390"/>
      <c r="S154" s="390"/>
      <c r="T154" s="390"/>
      <c r="U154" s="390"/>
      <c r="V154" s="390"/>
      <c r="W154" s="390"/>
      <c r="X154" s="390"/>
      <c r="Y154" s="390"/>
      <c r="Z154" s="390"/>
    </row>
    <row r="155" spans="1:26" s="388" customFormat="1">
      <c r="A155" s="391"/>
      <c r="B155" s="391"/>
      <c r="C155" s="394"/>
      <c r="D155" s="488"/>
      <c r="E155" s="488"/>
      <c r="F155" s="395"/>
      <c r="G155" s="394"/>
      <c r="H155" s="394"/>
      <c r="I155" s="394"/>
      <c r="J155" s="395"/>
      <c r="K155" s="487"/>
      <c r="L155" s="391"/>
      <c r="N155" s="389"/>
      <c r="P155" s="499"/>
      <c r="Q155" s="501"/>
      <c r="R155" s="390"/>
      <c r="S155" s="390"/>
      <c r="T155" s="390"/>
      <c r="U155" s="390"/>
      <c r="V155" s="390"/>
      <c r="W155" s="390"/>
      <c r="X155" s="390"/>
      <c r="Y155" s="390"/>
      <c r="Z155" s="390"/>
    </row>
    <row r="156" spans="1:26" s="388" customFormat="1">
      <c r="A156" s="391"/>
      <c r="B156" s="391"/>
      <c r="C156" s="394"/>
      <c r="D156" s="488"/>
      <c r="E156" s="488"/>
      <c r="F156" s="395"/>
      <c r="G156" s="394"/>
      <c r="H156" s="394"/>
      <c r="I156" s="394"/>
      <c r="J156" s="395"/>
      <c r="K156" s="487"/>
      <c r="L156" s="391"/>
      <c r="N156" s="389"/>
      <c r="P156" s="499"/>
      <c r="Q156" s="501"/>
      <c r="R156" s="390"/>
      <c r="S156" s="390"/>
      <c r="T156" s="390"/>
      <c r="U156" s="390"/>
      <c r="V156" s="390"/>
      <c r="W156" s="390"/>
      <c r="X156" s="390"/>
      <c r="Y156" s="390"/>
      <c r="Z156" s="390"/>
    </row>
    <row r="157" spans="1:26" s="388" customFormat="1">
      <c r="A157" s="391"/>
      <c r="B157" s="391"/>
      <c r="C157" s="394"/>
      <c r="D157" s="488"/>
      <c r="E157" s="488"/>
      <c r="F157" s="395"/>
      <c r="G157" s="394"/>
      <c r="H157" s="394"/>
      <c r="I157" s="394"/>
      <c r="J157" s="395"/>
      <c r="K157" s="487"/>
      <c r="L157" s="391"/>
      <c r="N157" s="389"/>
      <c r="P157" s="499"/>
      <c r="Q157" s="501"/>
      <c r="R157" s="390"/>
      <c r="S157" s="390"/>
      <c r="T157" s="390"/>
      <c r="U157" s="390"/>
      <c r="V157" s="390"/>
      <c r="W157" s="390"/>
      <c r="X157" s="390"/>
      <c r="Y157" s="390"/>
      <c r="Z157" s="390"/>
    </row>
    <row r="158" spans="1:26" s="388" customFormat="1">
      <c r="A158" s="391"/>
      <c r="B158" s="391"/>
      <c r="C158" s="394"/>
      <c r="D158" s="488"/>
      <c r="E158" s="488"/>
      <c r="F158" s="395"/>
      <c r="G158" s="394"/>
      <c r="H158" s="394"/>
      <c r="I158" s="394"/>
      <c r="J158" s="395"/>
      <c r="K158" s="487"/>
      <c r="L158" s="391"/>
      <c r="N158" s="389"/>
      <c r="P158" s="499"/>
      <c r="Q158" s="501"/>
      <c r="R158" s="390"/>
      <c r="S158" s="390"/>
      <c r="T158" s="390"/>
      <c r="U158" s="390"/>
      <c r="V158" s="390"/>
      <c r="W158" s="390"/>
      <c r="X158" s="390"/>
      <c r="Y158" s="390"/>
      <c r="Z158" s="390"/>
    </row>
    <row r="159" spans="1:26" s="388" customFormat="1">
      <c r="A159" s="391"/>
      <c r="B159" s="391"/>
      <c r="C159" s="394"/>
      <c r="D159" s="488"/>
      <c r="E159" s="394"/>
      <c r="F159" s="395"/>
      <c r="G159" s="394"/>
      <c r="H159" s="394"/>
      <c r="I159" s="394"/>
      <c r="J159" s="395"/>
      <c r="K159" s="487"/>
      <c r="L159" s="391"/>
      <c r="N159" s="389"/>
      <c r="P159" s="499"/>
      <c r="Q159" s="501"/>
      <c r="R159" s="390"/>
      <c r="S159" s="390"/>
      <c r="T159" s="390"/>
      <c r="U159" s="390"/>
      <c r="V159" s="390"/>
      <c r="W159" s="390"/>
      <c r="X159" s="390"/>
      <c r="Y159" s="390"/>
      <c r="Z159" s="390"/>
    </row>
    <row r="160" spans="1:26" s="388" customFormat="1">
      <c r="A160" s="391"/>
      <c r="B160" s="391"/>
      <c r="C160" s="394"/>
      <c r="D160" s="488"/>
      <c r="E160" s="394"/>
      <c r="F160" s="395"/>
      <c r="G160" s="394"/>
      <c r="H160" s="394"/>
      <c r="I160" s="394"/>
      <c r="J160" s="395"/>
      <c r="K160" s="487"/>
      <c r="L160" s="391"/>
      <c r="N160" s="389"/>
      <c r="P160" s="499"/>
      <c r="Q160" s="501"/>
      <c r="R160" s="390"/>
      <c r="S160" s="390"/>
      <c r="T160" s="390"/>
      <c r="U160" s="390"/>
      <c r="V160" s="390"/>
      <c r="W160" s="390"/>
      <c r="X160" s="390"/>
      <c r="Y160" s="390"/>
      <c r="Z160" s="390"/>
    </row>
  </sheetData>
  <sheetProtection formatCells="0" formatColumns="0" formatRows="0" insertColumns="0" insertRows="0" insertHyperlinks="0" deleteColumns="0" deleteRows="0" sort="0" autoFilter="0" pivotTables="0"/>
  <mergeCells count="63">
    <mergeCell ref="A1:L1"/>
    <mergeCell ref="A2:L2"/>
    <mergeCell ref="A4:A5"/>
    <mergeCell ref="B4:B5"/>
    <mergeCell ref="C4:F4"/>
    <mergeCell ref="G4:J4"/>
    <mergeCell ref="K4:K5"/>
    <mergeCell ref="L4:L5"/>
    <mergeCell ref="J55:J56"/>
    <mergeCell ref="N7:N14"/>
    <mergeCell ref="P7:P8"/>
    <mergeCell ref="P12:P14"/>
    <mergeCell ref="N18:N39"/>
    <mergeCell ref="N48:N51"/>
    <mergeCell ref="P48:P51"/>
    <mergeCell ref="K55:K56"/>
    <mergeCell ref="N55:N56"/>
    <mergeCell ref="A55:A56"/>
    <mergeCell ref="B55:B56"/>
    <mergeCell ref="G55:G56"/>
    <mergeCell ref="H55:H56"/>
    <mergeCell ref="I55:I56"/>
    <mergeCell ref="N60:N68"/>
    <mergeCell ref="N74:N77"/>
    <mergeCell ref="N78:N79"/>
    <mergeCell ref="Q78:Q79"/>
    <mergeCell ref="N80:N81"/>
    <mergeCell ref="P80:P81"/>
    <mergeCell ref="Q80:Q81"/>
    <mergeCell ref="N82:N86"/>
    <mergeCell ref="P82:P86"/>
    <mergeCell ref="P78:P79"/>
    <mergeCell ref="R101:R106"/>
    <mergeCell ref="N90:N91"/>
    <mergeCell ref="P90:P91"/>
    <mergeCell ref="Q90:Q91"/>
    <mergeCell ref="N92:N95"/>
    <mergeCell ref="P92:P95"/>
    <mergeCell ref="Q92:Q95"/>
    <mergeCell ref="P96:P99"/>
    <mergeCell ref="Q96:Q99"/>
    <mergeCell ref="N101:N106"/>
    <mergeCell ref="P101:P106"/>
    <mergeCell ref="Q101:Q106"/>
    <mergeCell ref="N128:N129"/>
    <mergeCell ref="P128:P129"/>
    <mergeCell ref="Q128:Q129"/>
    <mergeCell ref="A131:A134"/>
    <mergeCell ref="N115:N118"/>
    <mergeCell ref="P115:P116"/>
    <mergeCell ref="B119:B120"/>
    <mergeCell ref="N119:N122"/>
    <mergeCell ref="P119:P125"/>
    <mergeCell ref="A128:A129"/>
    <mergeCell ref="B128:B129"/>
    <mergeCell ref="G128:G129"/>
    <mergeCell ref="H128:H129"/>
    <mergeCell ref="I128:I129"/>
    <mergeCell ref="A138:B138"/>
    <mergeCell ref="A141:F144"/>
    <mergeCell ref="A149:B149"/>
    <mergeCell ref="J128:J129"/>
    <mergeCell ref="K128:K129"/>
  </mergeCells>
  <pageMargins left="0.15748031496062992" right="0.15748031496062992" top="0.43307086614173229" bottom="0.19685039370078741" header="0" footer="0"/>
  <pageSetup paperSize="9" scale="39" fitToHeight="0" orientation="landscape" r:id="rId1"/>
  <rowBreaks count="12" manualBreakCount="12">
    <brk id="18" max="12" man="1"/>
    <brk id="27" max="12" man="1"/>
    <brk id="44" max="12" man="1"/>
    <brk id="53" max="12" man="1"/>
    <brk id="60" max="12" man="1"/>
    <brk id="69" max="12" man="1"/>
    <brk id="78" max="12" man="1"/>
    <brk id="84" max="12" man="1"/>
    <brk id="91" max="12" man="1"/>
    <brk id="105" max="12" man="1"/>
    <brk id="114" max="12" man="1"/>
    <brk id="1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12 мес 2025</vt:lpstr>
      <vt:lpstr>Отчет!Заголовки_для_печати</vt:lpstr>
      <vt:lpstr>'Отчет за 12 мес 2025'!Заголовки_для_печати</vt:lpstr>
      <vt:lpstr>'Отчет за 12 месяцев (2)'!Заголовки_для_печати</vt:lpstr>
      <vt:lpstr>Отчет!Область_печати</vt:lpstr>
      <vt:lpstr>'Отчет за 12 мес 2025'!Область_печати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2026-04-30T02:39:25Z</dcterms:modified>
</cp:coreProperties>
</file>