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2 месяцев" sheetId="28" r:id="rId5"/>
    <sheet name="Лист3" sheetId="26" state="hidden" r:id="rId6"/>
  </sheets>
  <definedNames>
    <definedName name="_xlnm._FilterDatabase" localSheetId="4" hidden="1">'Отчет за 12 месяцев'!$C$1:$C$183</definedName>
    <definedName name="_xlnm.Print_Titles" localSheetId="0">Отчет!$4:$6</definedName>
    <definedName name="_xlnm.Print_Titles" localSheetId="4">'Отчет за 12 месяцев'!$4:$6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12 месяцев'!$A$1:$M$172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P119" i="28"/>
  <c r="O119"/>
  <c r="O120"/>
  <c r="O144" l="1"/>
  <c r="P144" s="1"/>
  <c r="O145"/>
  <c r="P156" l="1"/>
  <c r="O158"/>
  <c r="O159"/>
  <c r="K161" l="1"/>
  <c r="O83"/>
  <c r="O78"/>
  <c r="O77"/>
  <c r="A40" i="26"/>
  <c r="H19"/>
  <c r="G19"/>
  <c r="O56" i="28" l="1"/>
  <c r="O44"/>
  <c r="O27"/>
  <c r="O47"/>
  <c r="O58"/>
  <c r="O26" l="1"/>
  <c r="O35"/>
  <c r="Q31" s="1"/>
  <c r="O32"/>
  <c r="O37"/>
  <c r="O36"/>
  <c r="O34"/>
  <c r="O33"/>
  <c r="O31"/>
  <c r="P19" l="1"/>
  <c r="O57"/>
  <c r="O53"/>
  <c r="O52"/>
  <c r="O50"/>
  <c r="O48"/>
  <c r="O46"/>
  <c r="O45"/>
  <c r="O43"/>
  <c r="O42"/>
  <c r="O41"/>
  <c r="O38"/>
  <c r="O30"/>
  <c r="O28"/>
  <c r="O25"/>
  <c r="O24"/>
  <c r="O22" l="1"/>
  <c r="O23"/>
  <c r="O21"/>
  <c r="O19"/>
  <c r="O62"/>
  <c r="O59"/>
  <c r="O63"/>
  <c r="P59" l="1"/>
  <c r="O61" l="1"/>
  <c r="O65"/>
  <c r="O138" l="1"/>
  <c r="O137"/>
  <c r="O139"/>
  <c r="O141"/>
  <c r="O142"/>
  <c r="O154"/>
  <c r="O153"/>
  <c r="Q156"/>
  <c r="O156"/>
  <c r="O147"/>
  <c r="P137" l="1"/>
  <c r="Q137" s="1"/>
  <c r="O125"/>
  <c r="O124"/>
  <c r="P128" l="1"/>
  <c r="O128"/>
  <c r="O126"/>
  <c r="P114"/>
  <c r="O116"/>
  <c r="O114"/>
  <c r="P111"/>
  <c r="O111"/>
  <c r="O112"/>
  <c r="O113"/>
  <c r="O109"/>
  <c r="P132" l="1"/>
  <c r="O132"/>
  <c r="O133"/>
  <c r="O135"/>
  <c r="O104"/>
  <c r="O107"/>
  <c r="Q105" s="1"/>
  <c r="O100"/>
  <c r="O101"/>
  <c r="O98"/>
  <c r="O105"/>
  <c r="O106"/>
  <c r="O102"/>
  <c r="O99"/>
  <c r="O97"/>
  <c r="O96"/>
  <c r="O95"/>
  <c r="O66"/>
  <c r="O17"/>
  <c r="P7"/>
  <c r="P12"/>
  <c r="O15"/>
  <c r="O14"/>
  <c r="O12"/>
  <c r="O11"/>
  <c r="O10"/>
  <c r="O9"/>
  <c r="P95" l="1"/>
  <c r="O7"/>
  <c r="O94" l="1"/>
  <c r="O93"/>
  <c r="O90"/>
  <c r="O91"/>
  <c r="O89"/>
  <c r="O85"/>
  <c r="O88"/>
  <c r="O87"/>
  <c r="P74"/>
  <c r="O75"/>
  <c r="O74"/>
  <c r="O80"/>
  <c r="O79"/>
  <c r="O82"/>
  <c r="O69"/>
  <c r="O73"/>
  <c r="O72"/>
  <c r="P90" l="1"/>
  <c r="P85"/>
  <c r="P68"/>
  <c r="O68"/>
  <c r="O29"/>
  <c r="Q32" l="1"/>
  <c r="S32" s="1"/>
  <c r="O64"/>
  <c r="O134" l="1"/>
  <c r="O118" l="1"/>
  <c r="O117"/>
  <c r="J160" l="1"/>
  <c r="F160"/>
  <c r="M158"/>
  <c r="J158"/>
  <c r="F158"/>
  <c r="M156"/>
  <c r="N155" s="1"/>
  <c r="J156"/>
  <c r="F156"/>
  <c r="I155"/>
  <c r="H155"/>
  <c r="G155"/>
  <c r="E155"/>
  <c r="D155"/>
  <c r="C155"/>
  <c r="P153"/>
  <c r="N153"/>
  <c r="M153"/>
  <c r="J153"/>
  <c r="F153"/>
  <c r="J152"/>
  <c r="F152"/>
  <c r="M147"/>
  <c r="M144"/>
  <c r="J144"/>
  <c r="F144"/>
  <c r="J143"/>
  <c r="P143" s="1"/>
  <c r="F143"/>
  <c r="N137"/>
  <c r="M137"/>
  <c r="J137"/>
  <c r="F137"/>
  <c r="I136"/>
  <c r="H136"/>
  <c r="G136"/>
  <c r="E136"/>
  <c r="D136"/>
  <c r="C136"/>
  <c r="M134"/>
  <c r="M132"/>
  <c r="J132"/>
  <c r="F132"/>
  <c r="J131"/>
  <c r="K131" s="1"/>
  <c r="F131"/>
  <c r="J130"/>
  <c r="K130" s="1"/>
  <c r="F130"/>
  <c r="J129"/>
  <c r="F129"/>
  <c r="N128"/>
  <c r="J128"/>
  <c r="F128"/>
  <c r="I127"/>
  <c r="H127"/>
  <c r="G127"/>
  <c r="E127"/>
  <c r="D127"/>
  <c r="C127"/>
  <c r="M126"/>
  <c r="J126"/>
  <c r="F126"/>
  <c r="M125"/>
  <c r="M122"/>
  <c r="M119"/>
  <c r="J119"/>
  <c r="F119"/>
  <c r="M114"/>
  <c r="N114" s="1"/>
  <c r="J114"/>
  <c r="F114"/>
  <c r="M113"/>
  <c r="M111"/>
  <c r="N111" s="1"/>
  <c r="J111"/>
  <c r="F111"/>
  <c r="P109"/>
  <c r="M109"/>
  <c r="N109" s="1"/>
  <c r="J109"/>
  <c r="F109"/>
  <c r="I108"/>
  <c r="H108"/>
  <c r="G108"/>
  <c r="E108"/>
  <c r="D108"/>
  <c r="C108"/>
  <c r="M105"/>
  <c r="M102"/>
  <c r="M101"/>
  <c r="M97"/>
  <c r="M95"/>
  <c r="J95"/>
  <c r="F95"/>
  <c r="M94"/>
  <c r="R93"/>
  <c r="P93"/>
  <c r="M93"/>
  <c r="N93" s="1"/>
  <c r="J93"/>
  <c r="F93"/>
  <c r="M91"/>
  <c r="M90"/>
  <c r="J90"/>
  <c r="K90" s="1"/>
  <c r="F90"/>
  <c r="M89"/>
  <c r="M88"/>
  <c r="J85"/>
  <c r="F85"/>
  <c r="M80"/>
  <c r="M79"/>
  <c r="M77"/>
  <c r="M75"/>
  <c r="M74"/>
  <c r="J74"/>
  <c r="F74"/>
  <c r="M69"/>
  <c r="M68"/>
  <c r="J68"/>
  <c r="F68"/>
  <c r="I67"/>
  <c r="H67"/>
  <c r="G67"/>
  <c r="E67"/>
  <c r="D67"/>
  <c r="C67"/>
  <c r="M66"/>
  <c r="J66"/>
  <c r="F66"/>
  <c r="M65"/>
  <c r="J65"/>
  <c r="F65"/>
  <c r="M62"/>
  <c r="M59"/>
  <c r="N59" s="1"/>
  <c r="J59"/>
  <c r="Q59" s="1"/>
  <c r="F59"/>
  <c r="M58"/>
  <c r="M53"/>
  <c r="M52"/>
  <c r="M50"/>
  <c r="M47"/>
  <c r="M45"/>
  <c r="M41"/>
  <c r="M31"/>
  <c r="M30"/>
  <c r="M28"/>
  <c r="M25"/>
  <c r="M22"/>
  <c r="M19"/>
  <c r="J19"/>
  <c r="Q19" s="1"/>
  <c r="F19"/>
  <c r="I18"/>
  <c r="H18"/>
  <c r="G18"/>
  <c r="E18"/>
  <c r="D18"/>
  <c r="C18"/>
  <c r="J17"/>
  <c r="F17"/>
  <c r="M14"/>
  <c r="M12"/>
  <c r="O8"/>
  <c r="M8"/>
  <c r="M7"/>
  <c r="J7"/>
  <c r="F7"/>
  <c r="K119" l="1"/>
  <c r="N90"/>
  <c r="Q95"/>
  <c r="N144"/>
  <c r="N85"/>
  <c r="N95"/>
  <c r="K93"/>
  <c r="N119"/>
  <c r="P17"/>
  <c r="K17"/>
  <c r="N74"/>
  <c r="N19"/>
  <c r="N7"/>
  <c r="N68"/>
  <c r="N132"/>
  <c r="K59"/>
  <c r="K153"/>
  <c r="K129"/>
  <c r="K111"/>
  <c r="K85"/>
  <c r="K160"/>
  <c r="F136"/>
  <c r="F127"/>
  <c r="K126"/>
  <c r="E161"/>
  <c r="K19"/>
  <c r="J18"/>
  <c r="Q144"/>
  <c r="Q74"/>
  <c r="K74"/>
  <c r="Q85"/>
  <c r="R85" s="1"/>
  <c r="J127"/>
  <c r="K128"/>
  <c r="Q93"/>
  <c r="K95"/>
  <c r="K132"/>
  <c r="Q109"/>
  <c r="K114"/>
  <c r="I161"/>
  <c r="H161"/>
  <c r="J136"/>
  <c r="K158"/>
  <c r="J155"/>
  <c r="K156"/>
  <c r="G161"/>
  <c r="K66"/>
  <c r="Q119"/>
  <c r="K7"/>
  <c r="K152"/>
  <c r="K144"/>
  <c r="K137"/>
  <c r="K143"/>
  <c r="F108"/>
  <c r="F67"/>
  <c r="K68"/>
  <c r="D161"/>
  <c r="C161"/>
  <c r="Q114"/>
  <c r="F18"/>
  <c r="Q90"/>
  <c r="Q111"/>
  <c r="K109"/>
  <c r="F155"/>
  <c r="J67"/>
  <c r="K65"/>
  <c r="Q68"/>
  <c r="J108"/>
  <c r="Q153"/>
  <c r="R95" l="1"/>
  <c r="K127"/>
  <c r="K136"/>
  <c r="K18"/>
  <c r="Q128"/>
  <c r="J161"/>
  <c r="K155"/>
  <c r="K108"/>
  <c r="K67"/>
  <c r="F16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<sst xmlns="http://schemas.openxmlformats.org/spreadsheetml/2006/main" count="706" uniqueCount="506">
  <si>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</si>
  <si>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</si>
  <si>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</si>
  <si>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</si>
  <si>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</si>
  <si>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</si>
  <si>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</si>
  <si>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</si>
  <si>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</si>
  <si>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</si>
  <si>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</si>
  <si>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</si>
  <si>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</si>
  <si>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</si>
  <si>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</si>
  <si>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</si>
  <si>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</si>
  <si>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</si>
  <si>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</si>
  <si>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</si>
  <si>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</si>
  <si>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</si>
  <si>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</si>
  <si>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</si>
  <si>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</si>
  <si>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</si>
  <si>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</si>
  <si>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</si>
  <si>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</si>
  <si>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</si>
  <si>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</si>
  <si>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</si>
  <si>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</si>
  <si>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</si>
  <si>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</si>
  <si>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</si>
  <si>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</si>
  <si>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</si>
  <si>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</si>
  <si>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</si>
  <si>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</si>
  <si>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</si>
  <si>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</si>
  <si>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</si>
  <si>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</si>
  <si>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</si>
  <si>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</si>
  <si>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</si>
  <si>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</si>
  <si>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</si>
  <si>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</si>
  <si>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</si>
  <si>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</si>
  <si>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</si>
  <si>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</si>
  <si>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</si>
  <si>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</si>
  <si>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</si>
  <si>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</si>
  <si>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</si>
  <si>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</si>
  <si>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</si>
  <si>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</si>
  <si>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</si>
  <si>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</si>
  <si>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</si>
  <si>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</si>
  <si>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</si>
  <si>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</si>
  <si>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</si>
  <si>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</si>
  <si>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</si>
  <si>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</si>
  <si>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</si>
  <si>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</si>
  <si>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</si>
  <si>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</si>
  <si>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</si>
  <si>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</si>
  <si>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</si>
  <si>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</si>
  <si>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</si>
  <si>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</si>
  <si>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</si>
  <si>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</si>
  <si>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</si>
  <si>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</si>
  <si>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</si>
  <si>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</si>
  <si>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</si>
  <si>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</si>
  <si>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</si>
  <si>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</si>
  <si>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</si>
  <si>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</si>
  <si>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</si>
  <si>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</si>
  <si>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</si>
  <si>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</si>
  <si>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</si>
  <si>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</si>
  <si>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</si>
  <si>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</si>
  <si>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</si>
  <si>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</si>
  <si>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</si>
  <si>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</si>
  <si>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</si>
  <si>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</si>
  <si>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</si>
  <si>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</si>
  <si>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</si>
  <si>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</si>
  <si>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</si>
  <si>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</si>
  <si>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</si>
  <si>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</si>
  <si>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</si>
  <si>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</si>
  <si>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</si>
  <si>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</si>
  <si>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</si>
  <si>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</si>
  <si>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</si>
  <si>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</si>
  <si>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</si>
  <si>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</si>
  <si>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</si>
  <si>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</si>
  <si>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</si>
  <si>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</si>
  <si>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</si>
  <si>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</si>
  <si>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</si>
  <si>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</si>
  <si>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</si>
  <si>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</si>
  <si>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</si>
  <si>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</si>
  <si>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</si>
  <si>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</si>
  <si>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</si>
  <si>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</si>
  <si>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</si>
  <si>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</si>
  <si>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</si>
  <si>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</si>
  <si>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</si>
  <si>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</si>
  <si>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</si>
  <si>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</si>
  <si>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</si>
  <si>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</si>
  <si>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</si>
  <si>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</si>
  <si>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</si>
  <si>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</si>
  <si>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</si>
  <si>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</si>
  <si>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</si>
  <si>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</si>
  <si>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</si>
  <si>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</si>
  <si>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</si>
  <si>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</si>
  <si>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</si>
  <si>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</si>
  <si>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</si>
  <si>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</si>
  <si>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</si>
  <si>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</si>
  <si>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</si>
  <si>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</si>
  <si>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</si>
  <si>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</si>
  <si>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</si>
  <si>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</si>
  <si>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</si>
  <si>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</si>
  <si>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</si>
  <si>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</si>
  <si>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</si>
  <si>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</si>
  <si>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</si>
  <si>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</si>
  <si>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</si>
  <si>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</si>
  <si>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</si>
  <si>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</si>
  <si>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</si>
  <si>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</si>
  <si>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</si>
  <si>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</si>
  <si>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</si>
  <si>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</si>
  <si>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</si>
  <si>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</si>
  <si>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</si>
  <si>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</si>
  <si>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</si>
  <si>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</si>
  <si>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</si>
  <si>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</si>
  <si>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</si>
  <si>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</si>
  <si>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</si>
  <si>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</si>
  <si>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</si>
  <si>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</si>
  <si>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</si>
  <si>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</si>
  <si>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</si>
  <si>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</si>
  <si>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</si>
  <si>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</si>
  <si>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</si>
  <si>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</si>
  <si>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</si>
  <si>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</si>
  <si>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</si>
  <si>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</si>
  <si>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</si>
  <si>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</si>
  <si>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</si>
  <si>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</si>
  <si>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</si>
  <si>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</si>
  <si>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</si>
  <si>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</si>
  <si>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</si>
  <si>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</si>
  <si>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</si>
  <si>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</si>
  <si>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</si>
  <si>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</si>
  <si>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</si>
  <si>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</si>
  <si>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</si>
  <si>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</si>
  <si>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</si>
  <si>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</si>
  <si>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</si>
  <si>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</si>
  <si>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</si>
  <si>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</si>
  <si>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</si>
  <si>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</si>
  <si>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</si>
  <si>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</si>
  <si>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</si>
  <si>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</si>
  <si>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</si>
  <si>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</si>
  <si>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</si>
  <si>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</si>
  <si>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</si>
  <si>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</si>
  <si>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</si>
  <si>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</si>
  <si>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</si>
  <si>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</si>
  <si>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</si>
  <si>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</si>
  <si>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</si>
  <si>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</si>
  <si>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</si>
  <si>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</si>
  <si>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</si>
  <si>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</si>
  <si>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</si>
  <si>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</si>
  <si>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</si>
  <si>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</si>
  <si>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</si>
  <si>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</si>
  <si>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</si>
  <si>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</si>
  <si>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</si>
  <si>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</si>
  <si>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</si>
  <si>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</si>
  <si>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</si>
  <si>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</si>
  <si>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</si>
  <si>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</si>
  <si>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</si>
  <si>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</si>
  <si>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</si>
  <si>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</si>
  <si>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</si>
  <si>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</si>
  <si>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</si>
  <si>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</si>
  <si>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</si>
  <si>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</si>
  <si>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</si>
  <si>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</si>
  <si>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</si>
  <si>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</si>
  <si>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</si>
  <si>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</si>
  <si>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</si>
  <si>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</si>
  <si>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</si>
  <si>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</si>
  <si>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</si>
  <si>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</si>
  <si>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</si>
  <si>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</si>
  <si>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</si>
  <si>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</si>
  <si>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</si>
  <si>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</si>
  <si>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</si>
  <si>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</si>
  <si>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</si>
  <si>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</si>
  <si>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</si>
  <si>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</si>
  <si>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</si>
  <si>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</si>
  <si>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</si>
  <si>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</si>
  <si>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</si>
  <si>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</si>
  <si>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</si>
  <si>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</si>
  <si>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</si>
  <si>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</si>
  <si>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</si>
  <si>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</si>
  <si>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</si>
  <si>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</si>
  <si>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</si>
  <si>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</si>
  <si>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</si>
  <si>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</si>
  <si>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</si>
  <si>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</si>
  <si>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</si>
  <si>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</si>
  <si>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</si>
  <si>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</si>
  <si>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</si>
  <si>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</si>
  <si>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</si>
  <si>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</si>
  <si>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</si>
  <si>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</si>
  <si>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</si>
  <si>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</si>
  <si>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</si>
  <si>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</si>
  <si>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</si>
  <si>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</si>
  <si>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</si>
  <si>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</si>
  <si>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бюджетом)- 929,4,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2,2 (РХ), 206,2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(КовальчукЯ.А.) кредиторка 2023г., получен сертификат на покупку жилья (Лобейкина Евгения Александровна)</t>
    </r>
  </si>
  <si>
    <r>
      <t xml:space="preserve">2.Капитальный ремонт, в муниципальных учреждениях,  т.ч. разработка ПСД-29,8(МБ):                                                                             </t>
    </r>
    <r>
      <rPr>
        <sz val="15"/>
        <rFont val="Times New Roman"/>
        <family val="1"/>
        <charset val="204"/>
      </rPr>
      <t>ПСД на капитальный ремонт столовой лагеря "Дружба"</t>
    </r>
  </si>
  <si>
    <r>
      <rPr>
        <b/>
        <i/>
        <sz val="15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- 0,007(МБ)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^Пеня по земельному налогу под строительство д/с в д.Чапаево.</t>
    </r>
  </si>
  <si>
    <t>управления финансов и экономики администрации Усть-Абаканского района</t>
  </si>
  <si>
    <t>Выдано 2 Свидетельства о праве на получение социальной выплаты на приобретение жилого помещения или создание объекта индивидуального строительства, на общую сумму 4 273 731,00 руб. В 1 квартале 2024 оплачено 1 свидетельство  о праве на получение социальной выплаты на приобретение жилого помещения или создание объекта индивидуального строительства на сумму 1 714 608,00 руб.  В 2 квартале 2024 оплачено 1 свидетельство  о праве на получение социальной выплаты на приобретение жилого помещения или создание объекта индивидуального строительства на сумму 2 559 123,00 руб</t>
  </si>
  <si>
    <r>
      <t xml:space="preserve">4.Проведение ремонта загородных детских лагерей, оздоровительных лагерей- 4170,0 (РХ):                                               </t>
    </r>
    <r>
      <rPr>
        <sz val="15"/>
        <rFont val="Times New Roman"/>
        <family val="1"/>
        <charset val="204"/>
      </rPr>
      <t>Кап.ремонт котельной - 1454,3 , кап.ремонт здания столовой - 2715,7.</t>
    </r>
  </si>
  <si>
    <r>
      <t xml:space="preserve">5.Ремонт загородных детских лагерей, оздоровительных лагерей(софинансирование) - 85,1 (МБ).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котельной - 29,7, кап.ремонт здания столовой - 55,4.</t>
    </r>
  </si>
  <si>
    <r>
      <t xml:space="preserve">Региональный проект «Культурная среда».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Техническое оснащение региональных и муниципальных музеев (в том числе софинансирование с республиканским  бюджетом)- 257,7,</t>
    </r>
    <r>
      <rPr>
        <sz val="15"/>
        <rFont val="Times New Roman"/>
        <family val="1"/>
        <charset val="204"/>
      </rPr>
      <t>в том числе</t>
    </r>
    <r>
      <rPr>
        <b/>
        <i/>
        <sz val="15"/>
        <rFont val="Times New Roman"/>
        <family val="1"/>
        <charset val="204"/>
      </rPr>
      <t xml:space="preserve">: 5,2 (МБ), 2,5 (РХ), 250,0 (ФБ) из них:                                                               </t>
    </r>
    <r>
      <rPr>
        <sz val="15"/>
        <rFont val="Times New Roman"/>
        <family val="1"/>
        <charset val="204"/>
      </rPr>
      <t>1.Приобретение ПК в сборе - 146,6;                                                                                                                                                      2. Эвотор (терминал)-27,9;                                                                                                                                                                 3.Стенд-83,20</t>
    </r>
    <r>
      <rPr>
        <b/>
        <sz val="15"/>
        <rFont val="Times New Roman"/>
        <family val="1"/>
        <charset val="204"/>
      </rPr>
      <t xml:space="preserve">
</t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</si>
  <si>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- 2,4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</si>
  <si>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t xml:space="preserve"> «Региональный проект Республики Хакасия "Успех каждого ребенка»                                                                                                                                            1. </t>
    </r>
    <r>
      <rPr>
        <b/>
        <i/>
        <sz val="15"/>
        <rFont val="Times New Roman"/>
        <family val="1"/>
        <charset val="204"/>
      </rPr>
      <t xml:space="preserve">Оснащение (обновление материально-технической базы) оборудованием 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( в ом числе софинансирование с республиканским бюджетом)- 6976,4, из них 69,8 (МБ),69,1 (РХ), 6837,5 (РФ):                                                                      </t>
    </r>
    <r>
      <rPr>
        <sz val="15"/>
        <rFont val="Times New Roman"/>
        <family val="1"/>
        <charset val="204"/>
      </rPr>
      <t>Приобретение оборудования,инвентаря, программное обеспечения для создания доп. общеразвивающих программ:  В-Бидж. СОШ-370,0 , Доможаковская СОШ-181,9 , Калининская СОШ-370,0, Красноозерная ООШ-185,0, Московская СОШ-369,7, Росток-185,6 , Опытненская СОШ-370,0, Райковская СОШ-370,0 , Расцветская СОШ-367,9 , Сапоговская СОШ-355,2, Солнечная СОШ-370,0 , Усть-абаканская СОШ-1175,4 ,Усть-Бюрская СОШ-370,0 , Чапаевская СОШ-370,0 , Чарковская СОШИ-185,0 , ЦДО-1195,7 , Весенненская СОШ - 185,0.</t>
    </r>
  </si>
  <si>
    <r>
      <t>2.Средства из резервного фонда Республики Хакасия и выделении средств из резервного фонда Правительства Республики Хакасия по предупреждению и ликвидации чрезвычайных ситуаций и последствий стихийных бедствий-859,37 (РХ):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Восстановление кровли, замена окон: Доможаковская СОШ - 141,94, Росток - 21,44, Чарковская СОШИ - 695,99</t>
    </r>
  </si>
  <si>
    <t xml:space="preserve"> о реализации муниципальных программ, действующих на территории Усть-Абаканского района Республики Хакасия за 12 месяцев 2024 год.</t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</si>
  <si>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- 28420,8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17667,9; 2. Пособие по врем.нетруд. (266)-38,2; 3. Начисления на выплаты по оплате труда (ст.213) —5596,1;  4.Услуги связи (ст.221) — 125,3; 5. Коммунальные услуги (ст.223) — 2136,5; 6. Работы, услуги по содержанию имущества (ст.225) —497,5; 7. Прочие работы, услуги (ст.226) — 481,9 (услуги по охране, обучение,подписка); 8.Увеличение стоимости ГСМ (ст.343) — 221,1; 9. Увелич-е ст-ти строит мат-ов (ст. 344)  — 13,9; 10.Увеличение стоимости мягкого инвентаря (ст. 345) - 87,0; 11. Увеличение стоимости прочих оборотных запасов (ст.346) — 245,6 (канц. и хоз.товары); 12. Страхование (ст.227) —24,6; 13. Увеличение стоимости основных средств (ст.310) — 62,3; 14. Налоги, сборы  прочие (291,292,297) - 261,2.                                                                         Остаток на счете - 961,7                                                                                                                                             </t>
    </r>
  </si>
  <si>
    <r>
      <t xml:space="preserve">16. Пресс-тур к 100 летию У-Абакана "Нам есть чем гордиться"-62,50; 17. выставка День медицинского работник-5,55; 18.район.конкурс "Родная улица моя"-78,9; 19.День Чатхана-2,62; 20.ноутбук-52,0; 21.Мероприятия посвященные 100-летию района-433,88; 22. Итоговое мероприятие "100 лет Усть-Абаканскому р-ну" - 392,04; 23. Конкурс народного танца "Сибирская круговерть" - 62,85; 24. Конкурс "Адмиральская звезда" - 65,44; 25. Вечер ветеранов здравоохранения - 15,18; 26. Мероприятие "День учителя" - 31,84; 27. Конкурс "Семь ступеней" - 54,9; 28. Мастер-класс "Сам себе художник" - 10,0; 29. Юбилейный конкурс "Лейся песня" "20 лет поем для вас" - 34,66; 30. Новог. праздник "Елка Главы" - 34,0; 31. Конкурс ДПИ "Новогоднее чудо" - 17,0;  33. установление ограждения ДК Гагарина - 1691,94; 34. Текущий ремонт - 35,32;  36. кадастровые работы-15,8; 37. Выставка ДПИ и ИЗО "На диване всей семьей" - 17,96; 38. Стабилизатор - 45,86; 39. Коммутац. шкаф - 40,91; 41. Станок хореогр., зеркало - 215,0; 42. Микшер-усилит., проф. акустическая система, светодиод. блиндер - 234,59; 43. Тех. обсл. пож. сигнализации - 36,23; принтер-13,27; День работника сельского хозяйства-17,65; Подарок для мамы-10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>МРЦ:</t>
    </r>
    <r>
      <rPr>
        <sz val="15"/>
        <rFont val="Times New Roman"/>
        <family val="1"/>
        <charset val="204"/>
      </rPr>
      <t xml:space="preserve"> мероприятия к 100-летию района -1742,32 (пригл. артистов);                                                                                           </t>
    </r>
    <r>
      <rPr>
        <b/>
        <sz val="15"/>
        <rFont val="Times New Roman"/>
        <family val="1"/>
        <charset val="204"/>
      </rPr>
      <t>Сов.депутатов:</t>
    </r>
    <r>
      <rPr>
        <sz val="15"/>
        <rFont val="Times New Roman"/>
        <family val="1"/>
        <charset val="204"/>
      </rPr>
      <t xml:space="preserve"> 158,75-медали служения;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>Упр.сельск.хоз.:</t>
    </r>
    <r>
      <rPr>
        <sz val="15"/>
        <rFont val="Times New Roman"/>
        <family val="1"/>
        <charset val="204"/>
      </rPr>
      <t xml:space="preserve"> 307,44-100-летие района          </t>
    </r>
  </si>
  <si>
    <r>
      <t xml:space="preserve">4.Укрепление материально-технической базы-651,47(МБ), в том числе: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ДК: Радиоситема вокал. - 280,84; Диван 3х местный Соло" - 164,4, Принтер - 56,23                                                        РДК: Системный блок - 68,69; Пульт, наушники, усилитель - 81,31</t>
    </r>
  </si>
  <si>
    <r>
      <t xml:space="preserve">5.Иные межбюджетные трансферты на мероприятия по поддержке и развитию культуры -2998,60 (МБ), в том числе: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помещений и замена полов в спортивном зале СДК аал. Чарков - 2538,3; Сапоговский СДК приобретение орг.техники - 150,0; Опытненский СДК приобретение орг.техники - 157,3; Доможаковский СДК приобретение мебели - 153,0</t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</si>
  <si>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- 10473,63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РДК: </t>
    </r>
    <r>
      <rPr>
        <sz val="15"/>
        <rFont val="Times New Roman"/>
        <family val="1"/>
        <charset val="204"/>
      </rPr>
      <t xml:space="preserve">1. Конкурс "Защитник Отечества"-7,0; 2. Фотоконкурс повящ. (23 февраля-3,0+8 марта-2,98)-5,98; 3. Районный конкурс-чтецов-30,0; 4. День работника ЖКХ-37,21; 5. День работника культуры-55,13; 6. Повышение квалификации-5,0; 6. Выставка "Нам жить и помнить"-4,16;   7. Костюмы д/ведущих, оформление фотозоны  - 131,0; 8. Мир б/войны - 3,0; 9. К 25-ти летию ансамбля народной песни "Добро" - 52,47; 10. 9 мая-156,90; 11. Передача ВГТРК-168; 12. Вместе мы-Россия!-12,96; 13. Мероприятия, посвященные 100-летию района-2987,2; 14.День семьи, любви и верности-22,87; 15. фотоконкурс "Слава тебе защитник"-1,91; 16. Замена электрооборудования (трансформатор тока) в РДК "Дружба" - 26,13; 18. Фотоконкурс "Самый лучший день" - 3,0; 19. Онлайн-конкурс "Хранители радостного детства" - 3,0; 21. Фотоконкурс "Папа вам не мама" - 4,35; 22. День дошкольного работника - 3,42; 24. Челлендж "Улыбка моей матери" - 6,34; 25. Конкурс "Творческий капустник" - 27,25; 26. Конкурс "Творчество без границ" - 4,2; 27. Мероп-е "Родине служить" - 2,0; 28. Выставка-конкурс "Золотые руки нашим мастеров" - 3,0; 29. Выставка-конкурс "С любовью для мамы" - 1,88; Золотой возраст-15,0; фотоконкурс"Самый лучший день-3,0; Рожденные в СССР-3,8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ДК: </t>
    </r>
    <r>
      <rPr>
        <sz val="15"/>
        <rFont val="Times New Roman"/>
        <family val="1"/>
        <charset val="204"/>
      </rPr>
      <t xml:space="preserve"> 1. Приобретение портьеры-39,94; 2. Конкурс ДПИ "Мама, папа, я-творч-ая семья" (к 23 февраля)-1,3; 3. Концерт "Мы за сильную Россию", посвящ. дню выборов-51,28; 4. Фотоконкурс "Благословите женщину" - 29,13; 5. Выездная программа "Время игры"-60,6; 6. Конкурс ДПИ (Мама папа я -спортивная семья) ко Дню защитника отечества-6,9; 7. День космонавтики - 9,94; 8. Конкурс ДПИ (Казачья мастерская)-3,26; 9. Оформление фотозоны СУЭК 9 мая-19,0; 10. Программа передач ВГТРК-168,0; 11.День предпринимателя-5,0; 12. Выставка конкурс-14,84; 13. Фестиваль "Игры дружбы" -2,78; 14. День медицинского работника-150,3; 15. День муниципального служащего - 187,8; </t>
    </r>
  </si>
  <si>
    <r>
      <rPr>
        <b/>
        <sz val="15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- 271,4 (МБ</t>
    </r>
    <r>
      <rPr>
        <sz val="15"/>
        <rFont val="Times New Roman"/>
        <family val="1"/>
        <charset val="204"/>
      </rPr>
      <t>), в том числе:                                                                                                                                                                                                                   Капитальный ремонт уличной сцены ДК им. Ю.А.Гагарина</t>
    </r>
  </si>
  <si>
    <r>
      <t xml:space="preserve">3.Капитальный ремонт в муниципальном учреждении, в т.ч. проектно-сметная документация- 140,02 (МБ),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Замена деревянных окон и дверей в библиотеке п. Ильича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</si>
  <si>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- 5589,57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2919,08; 2. Пособие по врем. нетруд. (266)-7,0; 3. Начисления на выплаты по оплате труда (ст.213) — 916,13; 4. Коммунальные услуги (ст.223) — 257,58; 5. Услуги по содержанию имущества (ст.225) — 312,57; 6. Прочие работы, услуги (ст.226) — 170,63; 7. Увелич-е ст-ти ОС (ст 310)  — 311,38; 8. Увеличение стоимости ГСМ (ст.343) — 26,5; 9. Увелич-е ст-ти строит мат-ов (ст. 344)  — 28,5; 10. Увеличение стоимости прочих оборотных запасов (ст.346) —273,43 (канц. и хоз.товары); 11. Прочие расходы (ст. 290)— 114,74; 12. Услуги связи (ст.221)-40,71; 12. Страхование ТС (ст.227) - 21,49; Остаток на счете — 189,83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</si>
  <si>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3.Обеспечение безопасности музейного фонда и развитие музеев- 275,81(МБ),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Салбык: 1. Приобретение спецодежды (униформы) для использования на объектах культурного наследия Усть-Абаканского района - 35,95; 2. Акарицидная, противоклещевая обработка территории музея "Древние курганы Салбыкской степи" - 77,0; 3. Приобретение экспонатов (макет Гуннского дворца) - 92,5; 4. Мероприятие "Ожившая история долины царей" - 35,64; 5.Опашка территории, выкашивание травы - 34,72 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</si>
  <si>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- 37519,28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- 24408,0; 7. Соц. пособия (Б. листы) (ст. 266) - 90,73; 2. Начисления на выплаты по оплате труда (ст.213) - 7798,61; 3. Услуги связи (ст.221) - 245,97; 4. Транспортные услуги (ст. 222) - 40,35; 5. Коммунальные услуги (ст.223) - 1153,77; 6. Услуги по содержанию имущества (ст.225) - 259,84; 7. Прочие работы, услуги (ст.226) - 454,01 (услуги по охране, обучение,подписка); 8. Увеличение стоимости прочих оборотных запасов (материалов) (ст.346) - 400,69 (хоз.товары);  9. Увеличение стоимости основных средств (ст.310) - 914,91; 10. Увеличение стоимости ГСМ (ст.343) - 70,1; 11. Увелич-е ст-ти строит мат-ов (ст. 344)  - 104,2; 11. Прочие расходы (ст.297) - 3,5;  Остаток на счете - 1574,60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</si>
  <si>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- 4470,70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Установка видеонаблюдения - 11,94; 2. ЛитРес - 60,00; 3. Стол - 39,72; 3. Принтер Canon PIXMA G1411 - 33,80; 4. Юбилей библиотек (организация, подарки ветеранам) - 56,7; 5. Открытие центра доступа( Компьютер в сборе - 115,93; Монитор - 32,13); 7. Книжный фонд -200; 8. стеллажи офисные - 796,30; 9. Спил дерева аал Райков - 30,00; 10. информационный материал в российской газете - 42,00; 12.Летняя программа чтения - 80,76 (наст.игры); 13.Мероприятия приуроченные к 100-летию района - 218,22; 14.Комплектование кн. фондов - 302,15; 15.Ремонт видеонаблюдения в Сапоговской библиотеке - 17,66; 16. Районный конкурс "С грядки на грядку" - 13,96;  19.Изготовление книги "100 лет Усть-Абаканскому району" - 971,83 (подбор информ., верстка, печать); 20. Установка входной двери - 69,22; 21. Текущий ремонт полов в помещ. учреждения - 306,79; 26. Дизайн-проект помещения библиотеки - 15,0; 27. Контейнер - 21,3; 28. Каталожные шкафы - 174,21; 29. МФУ - 379,75; 30. Системный блок - 474,62; 31. Вентилятор - 6,71   </t>
    </r>
  </si>
  <si>
    <r>
      <rPr>
        <b/>
        <i/>
        <sz val="15"/>
        <rFont val="Times New Roman"/>
        <family val="1"/>
        <charset val="204"/>
      </rPr>
      <t xml:space="preserve">2.Средства из резервного фонда Республики Хакасия и выделении средств из резервного фонда Правительства Республики Хакасия по предупреждению и ликвидации чрезвычайных ситуаций и последствий стихийных бедствий-61,6 (РХ)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здания МБУДО «Усть-Абаканская ДШИ» за счет ИМБТ из Резервного фонда Правительства РХ - 61,6</t>
    </r>
  </si>
  <si>
    <r>
      <rPr>
        <b/>
        <i/>
        <sz val="15"/>
        <rFont val="Times New Roman"/>
        <family val="1"/>
        <charset val="204"/>
      </rPr>
      <t xml:space="preserve">3.Поощрение соответствующих муниципальных управленческих команд, способствовавших достижению Республикой Хакасии в 2023 году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(дотация (грант) из федерального бюджета) - 78,5 (ФБ),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1. Заработная плата (ст. 211) - 60,3; 2. Начисления на выплаты по оплате труда (ст. 213) - 18,2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</si>
  <si>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- 27576,7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- 20304,60; 2. Социальные пособия и компенсации персоналу (ст.266) - 30,29; 3. Начисления на выплаты по оплате труда (ст.213) - 6045,4; 4. Услуги связи - 79,42; 5. Услуги по содержанию имущества (ст.225) - 71,28 (ТО авто, ремонт - 37,29; заправка (замена) картриджа, замена фотовала,чистка принтера - 25,89, шиномон - 3,4, тех.осмотр - 4,7); 6. Прочие работы, услуги (ст.226) - 391,13 (Прогр. обеспеч - 34,34, Консультант Плюс - 79,46; 1С - 252,86, предрейсовый осмотр - 23,34, КриптоПро - 1,13 ); 7. Страхование (ст. 227) - 9,26; 8. Увелич. ст-ти ОС (ст 310) - 8,4; 9. Увеличение стоимости ГСМ (ст.343) - 305,57; 10. Увеличение стоимости прочих оборотных запасов (ст.346) — 327,81 (канц. и хоз.товары); 11. Прочие расходы (ст.290) - 3,54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</si>
  <si>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- 2325,14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1. Заработная плата (ст.211) - 1626,35; 2. Пособие по врем.нетруд. (266)-2,92; 3. Начисления на выплаты по оплате труда (ст.213) - 494,96; 4. Услуги связи (ст.221) - 23,12; 5. Услуги по содержанию имущества (ст.225) - 9,0; 6. Прочие работы, услуги (ст.226) - 38,5; 7. Увеличение стоимости прочих материальных запасов (ст. 346)- 15,0(канц. товары); 8. Прочие налоги и сборы (ст. 292) - 0,56; Остаток на счете - 114,73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</si>
  <si>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</si>
  <si>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- 195,9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</si>
  <si>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- 6928,0 (РХ), из них: </t>
    </r>
    <r>
      <rPr>
        <sz val="15"/>
        <rFont val="Times New Roman"/>
        <family val="1"/>
        <charset val="204"/>
      </rPr>
      <t>заработная плата – 809,8; больничный лист-2,4; начисления на выплаты по оплате труда – 244,6; уничтожение биологических отходов путем сжигания в спец.печах - 5552,0; 168,0-СЗЗ скотомогильника;0,2-комиссия банку; предрейсовый осмотр водителя-3,3;  ремонт тепловой пушки-2,1, ГСМ-107,6, страховка - 6,6, запчасти -31,4.</t>
    </r>
  </si>
  <si>
    <r>
      <t xml:space="preserve">Реализация мер по охране окружающей среды- 14494,0 (МБ),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1.Природоохранные мероприятия  - 14494,0 </t>
    </r>
    <r>
      <rPr>
        <i/>
        <sz val="15"/>
        <rFont val="Times New Roman"/>
        <family val="1"/>
        <charset val="204"/>
      </rPr>
      <t>(ликвидация свалок)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</si>
  <si>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6861,1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2677,3 (МБ), 42,0 (РХ),4141,8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- 22,5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- 2,5; кадастровые работы при строительстве ИЖД в с.Усть-Бюрь-20,0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</si>
  <si>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>Обеспечение деятельности органов местного самоуправления - 18848,6, в том числе:11825,3 (МБ),6928,0 (РХ), 95,3 (ФБ),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- 11629,4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7156,6;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- 35,3;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–2080,4 ;                                                                                                                                                                         4.Услуги связи –117,7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–59,0;                                                                                                                                                                      6.Страхование -3,0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основных средств – 314,1;                                                                                                                            8.Увеличение стоимости материальных запасов -333,7;                                                                                                                                                    9.Прочие расходы –1521,6;                                                                                                                                                                                            10.Налоги- 8,0.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</si>
  <si>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Развитие рынка труда (кадровый потенциал) на сельских территориях - 264,9 (МБ).                                                       </t>
    </r>
    <r>
      <rPr>
        <b/>
        <i/>
        <sz val="15"/>
        <rFont val="Times New Roman"/>
        <family val="1"/>
        <charset val="204"/>
      </rPr>
      <t xml:space="preserve">Проведение сельскохозяйственных конкурсов, мероприятий -264,9 (МБ), из них: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22,0-транспортные услуги (подвоз прилавков на ярмарки); 25,9-аренда биотуалетов; 18,4-покупка банеров;58,6-призы для проведения мероприятия "Про капусту";140,0-призы в денежной форме по труд.соревнованию.</t>
    </r>
  </si>
  <si>
    <r>
      <t xml:space="preserve">Мероприятия в сфере поддержки малого и среднего предпринимательства -2112,0 (МБ), в том числе: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районного конкурса "Предприниматель 2024 года"- 112,0.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(4 человека) -2000,00.                                                                                                                                                                                        </t>
    </r>
  </si>
  <si>
    <t>20. Уч-ие в Межрег-ом турнире среди клубов ALTAY OPEN-2024" п/косики карате-до (г. Барнаул с 6 по 11 дек. 2024) - 9,28(суточные, проезд, проживание); 21. Уч-ие в Межрег-ых соверн. по баскетболу "Лига Сибири" див-он В. Курилова 1тур. (г. Ачинск с 19 по 24 нояб. 2024) - 24,17(суточные, проезд, проживание); 22. Уч-ие в соревн. п/боксу (юноши) (г. Междуречиск с 20 по 23 дек. 2024) - 4,93(суточные, проезд, проживание); 23. Уч-ие во Всерос. соревн.  п/хоккею с/мячом "Плетеный мяч" (мальчики) (г. Красноярск с 10 по 18 янв. 2025г) - 68,62(суточные, проезд, проживание); 24. Уч-ие в Перв-ве Сибирс. федер. округа п/хоккею с/мячом (юноши) (г. Кемерово с 4 по 13 янв. 2025г) - 63,5(суточные, проезд, проживание); Остаток на счете - 1,58.</t>
  </si>
  <si>
    <r>
      <t xml:space="preserve">2.Капитальный ремонт в муниципальных учреждениях, в том числе проектно-сметная документация - 1108,6 (РХ),  в том числе: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Капитальный ремонт кровли здания раздевалки и гаражей МБУДО «Усть-Абаканская СШ» - 918,9; 2. капитальный ремонт – замена дверных проемов в МБУДО «Усть-Абаканская СШ» -189,7</t>
    </r>
  </si>
  <si>
    <r>
      <rPr>
        <b/>
        <i/>
        <sz val="15"/>
        <rFont val="Times New Roman"/>
        <family val="1"/>
        <charset val="204"/>
      </rPr>
      <t xml:space="preserve">3.Капитальный ремонт объектов муниципальной собственности(софинансирование) - 22,62 (МБ),в том числе: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Капитальный ремонт кровли здания раздевалки и гаражей МБУДО «Усть-Абаканская СШ» - 18,75;                                                              2. Капитальный ремонт – замена дверных проемов в МБУДО «Усть-Абаканская СШ»-3,87.</t>
    </r>
  </si>
  <si>
    <r>
      <t xml:space="preserve">4. Создание условий для занятий физической культурой и спортом - 2419,9 (МБ), в том числе: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Услуги крытого ледового катка-355,5; 2. Благоустройство территории перед универсальным спортивным залом в рп Усть-Абакан-1806,35; 3. Декоративная фигура "сердце"-258,05                                                                                                                                            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</si>
  <si>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-40786,55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—27796,71; 2. Пособия по временной нетрудоспособности (ст. 266) - 29,47; 3. Командировочные расходы - 1,3; 4. Начисления на выплаты по оплате труда (ст.213) — 8799,20; 5. Прочие несоциальные выплаты (ст. 212) - 0,1;  6. Услуги связи (ст.221) — 28,35; 7. Коммунальные услуги (ст.223) — 909,09;  8. Услуги по содержанию имущества (ст.225) — 481,09; 9. Прочие работы, услуги (ст.226) — 404,22 (предрейсовый осмотр-21,78, усл. Глонасс-0,18, уст. тахографа-55,0, обслуж. сайта-16,8, механик-25,86, усл. охраны-5,5, доп. обучение-146,2, разработка пр-мы энергосбережения - 9,9, проведение псих.освидет-ия работников-121); 10. Увеличение стоимости прочих оборотных запасов (материалов)(ст.346) — 71,3;  11. Увеличение стоимости основных средств (ст.310) — 115,21; 12. Увеличение стоимости горюче-смазочных материалов -  400,37; 13. Прочие расходы (ст.290) — 172,48; 14. Страхование ТС - 5,23; 15.Увеличение стоимости строительных материалов (ст.344) - 83,23; Остаток на счете - 1489,2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</si>
  <si>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5.Укрепление материально-технической базы - 1140,0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 футб.,мячи волейб.,мячи баскетб.,гиря,спор.снаряд,ракетка, коврик, ролик массаж., мяч) — 187,0;                                                                                                                                                                                            2. Спортинвентарь (тренажеры) - 663,0;                                                                                                                                                                                          3.Детский игровой комплекс "Мир детства" - 290,0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</si>
  <si>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6.Строительство универсального спортивного зала п.Усть-Абакан - 7914,84 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1. Стройкронтроль-67,07; 2. Строительство УСЗ-2921,44; 3. Благоустройство территории УСЗ: асфальтирование, установка знаков, разметка-4926,33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</si>
  <si>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- 480,0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Соревн. п/хоккею с/мячом "Плетеный мяч" (г. Красноярск, с 10 по 17 янв.2024) - 7,57 (проезд,проживание); 2. Соревн. п/хоккею (г. Красноярск, с 02 по 04 фев.2024) - 8,2 (проезд,проживание); 3. Соревн. п/боксу (г. Кемерово, с 24 по 28 янв.2024) - 8,1 (проезд,проживание); 4. Первенство СФО п/спорт.борьбе (г. Кызыл с 09 по11 фев. 2024) -8,6 (проезд,проживание); 5. Первенство п/боксу (г. Абаза с 07 по 11 мар.2024) - 8,94 (проезд, проживание); 6. Межрег-ые соревн. п/баск-лу (г. Ачинск с 20 по 25 янв.2024) - 41,51 (проезд, проживание); 7. Уч-ие в Фест-ле единоборств "Всерос. тур-р п/косики кратэ-до (Алтайский край, г. Барнаул с 22 по 27 фев.2024)-8,90 (проезд,проживание); 8. Уч-ие в Фест-ле ГТО с 22 по 23 мар.2024 (15 чел) - 3,9 (суточные, проживание); 9. Уч-ие в межрег-ом тур-ре п/баскетболу "Лига Сибири" (г. Ачинск с 09 по 13 мар.2024) - (11,01) (Проезд, проживание) ; 10.  Всерос.соревнования по хок.с мячом "Плетеный мяч"г.Красноярск-72,0 (трансп.услуги); 11. Всерос.соревнования по рукоп.бою "Кубок "Байкал"-31,87 (проезд, проживание); 12. Муждунар.тернир по косики-каратэ-9,62 (проезд, проживание); 13. Всероссийские соревнования по дартсу-27,06 (проезд, проживание); 14. Межрайонный турнир Алтайского края по боксу - 7,1 (проезд, проживание); 15. Уч-ие во Всерос. тур-ре п/рукопашному бою и призы ДОСААФ России (г. Рязань) - 25,82(суточные, проезд, проживание); 16. Уч-ие в Межрег-ой Восточной баскетб. детс. лиге - 7,77(суточные, проезд, проживание); 17. Уч-ие во Всерос-их соревн. п/дартс "Огни Енисея" (г. Красноярск с 2 по 6 нояб. 2024) - 8,71 (суточные, проезд); 18. Уч-ие в перв-ве п/мини-футболу  МАУ ДО "СШ №1" "Футболика-2024" (г. Прокопьевск с 22 по 25 нояб. 2024) - 5,04(суточные, поезд); 19. Уч-ие в Межрег-ых соверн. п/баскетболу "Лига Сибири" див-он В. Курилова (с 24 по 29 нояб. 2024) - 6,2 (суточные, проезд, проживание); </t>
    </r>
  </si>
  <si>
    <r>
      <t xml:space="preserve">8.Обеспечение деятельности подведомственных учреждений МАУ "Универсальный спортивный зал» - 17174,39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9783,94; 2. Пособия по временной нетрудоспособности - 8,66; 3. Командировочные расходы - 1,3; 4. Прочие несоциальные выплаты (ст. 212) - 0,1; 5. Начисления на выплаты по оплате труда (ст.213) —3253,84; 6. Услуги связи (ст.221) - 37,59; 7. Коммунальные услуги (ст.223) - 876,95; 8. Услуги по содержанию имущества (ст.225) - 70,25; 9. Прочие работы, услуги (ст.226) — 270,98 (сертификация-144,0; разр.сайта-20,0; повыш.квалиф-28,1; ввод в экспл.-2,0; спец.оценка-18,0; услуги ТО-0,62+1,86; незав.оценка-6,0; охрана-12,37, обучение - 1,05, усл. по ТО видеонабл. и сист.управ.конт.дост. - 10); 10. Страхование ТС (ст.227) - 1,5; 11. Увеличение стоимости основных средств (ст.310) — 609,73; 12. Увеличение стоимости прочих оборотных запасов (материалов) (ст.340) - 165,83; 13. Прочие расходы (ст.290) —919,08; Остаток на счете - 1174,64</t>
    </r>
  </si>
  <si>
    <r>
      <t xml:space="preserve">7.Оказание адресной финансовой поддержки спортивным организациям, осуществляющим подготовку спортивного резерва - 306,1, в том числе 300,0 (РХ), 6,1 (МБ):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^Спортинвентарь -306,1</t>
    </r>
  </si>
  <si>
    <r>
      <rPr>
        <b/>
        <sz val="15"/>
        <rFont val="Times New Roman"/>
        <family val="1"/>
        <charset val="204"/>
      </rPr>
      <t>Содействие формированию туристической инфраструктуры и материально-технической базы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 в области туризма - 169,3 (МБ),</t>
    </r>
    <r>
      <rPr>
        <sz val="15"/>
        <rFont val="Times New Roman"/>
        <family val="1"/>
        <charset val="204"/>
      </rPr>
      <t xml:space="preserve">в том числе:     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1.Национальный костюм-97,9; Хакасский национальный тон для экспозиции выставки "Хакасская национальная одежда"-71,4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</si>
  <si>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Организация, координация туристической деятельности и продвижения туристического продукта.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 в области туризма </t>
    </r>
    <r>
      <rPr>
        <b/>
        <sz val="15"/>
        <rFont val="Times New Roman"/>
        <family val="1"/>
        <charset val="204"/>
      </rPr>
      <t xml:space="preserve">- 100,83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1. Организация и проведение мероприятия "День туризма"- 30,0; 2. "День музеев" - 30,0; 3.Участие в праздновании Юбилея района - 30,0; 4. Изготовление полиграфической продукции, направленной на популяризацию туристских объектов Усть-Абаканского района - 10,83 </t>
    </r>
  </si>
  <si>
    <r>
      <t>2.Средства из резервного фонда Республики Хакасия и выделении средств из резервного фонда Правительства Республики Хакасия по предупреждению и ликвидации чрезвычайных ситуаций и последствий стихийных бедствий-15,0 (РХ)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Ремонт кровли Усть-Абаканский ЦДО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</si>
  <si>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2024,70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</si>
  <si>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- 9503,1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8806,20 (МБ),   696,9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- 8449,10;                                                                                                                                                    2.Оказание материальной помощи малообеспеченным категориям населения(5 чел) -60,0;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- 47,1;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- 250,0 (12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696,9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</si>
  <si>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- 47521,70  (РХ)</t>
    </r>
    <r>
      <rPr>
        <b/>
        <sz val="15"/>
        <rFont val="Times New Roman"/>
        <family val="1"/>
        <charset val="204"/>
      </rPr>
      <t>, в том числе:</t>
    </r>
    <r>
      <rPr>
        <sz val="15"/>
        <rFont val="Times New Roman"/>
        <family val="1"/>
        <charset val="204"/>
      </rPr>
      <t xml:space="preserve"> Опекунское пособие на 283 реб.- 29372,5; вознаграждение приемным семьям 4 чел. - 18149,2.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</si>
  <si>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- 9932,0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труда- 8875,8; услуги связи- 214,6; коммунальные услуги - 60,4, услуги по содержанию имущества- 67,5; прочие услуги- 296,4;  приобретение  основных средств - 104,0; приобретение мат.запасов- 305,7; прочие расходы - 2,5; страхование -5,1. 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</si>
  <si>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- 3972,80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- 3498,3, коммунальные услуги - 107,9, прочие расходы- 103,4, приобретение мат.запасов- 263,2.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</si>
  <si>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3.Мероприятия по организации отдыха, оздоровления и занятости несовершеннолетних- 551,9 (МБ):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Средства спонсоров (Благотворительный фонд Андрея Мельниченко) для создания на базе МБОУ "Усть-Абаканская СОШ им.М.Е.Орлова" (корпус 1) 20 рабочих мест для временного трудоустройства несовершеннолетних в возрасте 14-18 лет - 397,6.Оплата труда несовершеннолетних - 154,3.</t>
    </r>
  </si>
  <si>
    <r>
      <rPr>
        <b/>
        <sz val="15"/>
        <rFont val="Times New Roman"/>
        <family val="1"/>
        <charset val="204"/>
      </rPr>
      <t>Мероприятия по профилактике злоупотребления наркотиками и их незаконного оборота - 22,8 (МБ), из них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(буклеты,баннеры);                                                                                                                     ^Районная антинаркотическая акция «Здоровая Россия-Общее дело» - 5,0 (буклеты, фотобумага).                                                                             ^Приобретение тест системы для экспресс диагностики наркотиков -6,8;                                                                                                                                                          ^Антинаркотическая акция "Родительский урок"-2,0;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- 4,0 (грамоты,призы,ГСМ);                                                                                                                        ^Организация информационно-наглядных материалов - 2,0 (канцелярские товары, бумага).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</si>
  <si>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Мероприятия по профилактике безнадзорности и правонарушений несовершеннолетних - 42,6 (МБ).</t>
    </r>
    <r>
      <rPr>
        <sz val="15"/>
        <rFont val="Times New Roman"/>
        <family val="1"/>
        <charset val="204"/>
      </rPr>
      <t xml:space="preserve">      Организация летнего отдыха, трудоустройство в летний период несовершеннолетних, состоящих на профилактическом учете в КДН и ЗП.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</si>
  <si>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Укрепление безопасности и общественного порядка в Усть-Абаканском районе - 17,0 (МБ),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- 3,0.                                                                                                      ^Поощрение членов общественных организаций правоохранительной направленности- 14,0.</t>
    </r>
  </si>
  <si>
    <r>
      <rPr>
        <b/>
        <sz val="15"/>
        <rFont val="Times New Roman"/>
        <family val="1"/>
        <charset val="204"/>
      </rPr>
      <t>Мероприятия по повышению безопасности дорожного движения - 37,1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 баннеры. светоотражающие элементы)- 37,1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</si>
  <si>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- 144,0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участков- 144,0.</t>
    </r>
  </si>
  <si>
    <r>
      <t xml:space="preserve">4.Мероприятия по подготовке градостроительной документации - 150,0 (МБ), в том числе: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Работы по разработке МНГП МО Усть-Абаканский р-н и мун.образ.сельских поселений - 150,00</t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</si>
  <si>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- 480,3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- 480,3;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</si>
  <si>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5.Обеспечение обслуживания, содержания и распоряжения муниципальной собственностью - 853,3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- 193,5;                                                                                                                                                                    ^Охрана муниципального имущества - 35,0.                                                                                                                                                                                                               ^Транспортный налог-23,8;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расходы-32,8;                                                                                                                                                                                                           ^Оценка муниципального имущества-52,0;                                                                                                                                                                                                                                                                ^Опашка земельных участков-45,1.                                                                                                                                                                                        ^Демонтаж рекламных конструкций -174,9                                                                                                                                                           ^ Ремонт стеллы - 296,2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</si>
  <si>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- 141905,0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- 141905,0                                                                  </t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</si>
  <si>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- 10412,90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-7607,3 ; социальные пособия и компенсации -15,6; командировочные расходы - 27,1; начисления на выплаты по оплате труда – 2299,6; услуги связи – 77,4 ;  прочие работы, услуги – 148,5 ; работы, услуги по содержанию имущества - 5,3; увеличение стоимости материальных запасов –  60,7; увеличение стоимости основных средств – 109,0 ; ГСМ- 50,8; техосмотр-6,0; налоги - 0,9; страхование автотранспорта-4,7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</si>
  <si>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- 781,0 (РХ).    </t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</si>
  <si>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- 1535,3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- 739,30 (РХ)      </t>
    </r>
  </si>
  <si>
    <r>
      <t xml:space="preserve">5. Финансовое обеспечение расходных обязательств поселений на решение вопросов местного значения - 5313,10 (МБ):                                                                                                                                                                                                                                                             ^ </t>
    </r>
    <r>
      <rPr>
        <sz val="15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 - 5313,10.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</si>
  <si>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- 2672,10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Приобретение специальной одежды  - 673,01;                                                                                                                Проведение специальной оценки условий труда - 60,7;                                                                                                                                                                Проведение обучения по охране труда  - 630,7;                                                                                                                                                                     Проведение мед.осмотров -879,13;                                                                                                                                                                              Приобретение медицинских масок, дезинфицирующих средств - 13,7;                                                                                                                                            Приобретение смывающих и обеззараживающих средств (крем, мыло) - 137,56;                                                                                                                                                           Обустройство мест отдыха (тонометр, кондиционеры, кулер) - 177,2;                                                                                                   Приобретение аптечек - 4,4;                                                                                                                                                                               Приобретение стендов   - 6,00;                                                                                                                                                                                                                                                        Приобретение "Системы охраны труда" - 88,3;                                                                                                                                      Проведение дезинфекции -1,4.                                   </t>
    </r>
  </si>
  <si>
    <r>
      <t xml:space="preserve">4.Иные межбюджетные трансферты на содержание, капитальный ремонт, ремонт и строительство дорог общего пользования, в том числе разработка проектно-сметной документации - 632,84 (МБ):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Усть-Абаканский поссовет:                                                                                                                                                                                                                                Выполнение работ по организации подъездных путей к универсальному спортивному залу в р.п. Усть-Абакан, ул. Добровольского, 1В - 486,47,                                                                                                                                                                  Грейдирование дорог по ул. Садовой, переулок Колхозный рп. Усть-Абакан  - 146,37.</t>
    </r>
  </si>
  <si>
    <r>
      <t xml:space="preserve">3.Создание условия для обеспечения современного качества дополнительного образования- 1188,71 (МБ)                                  </t>
    </r>
    <r>
      <rPr>
        <sz val="15"/>
        <rFont val="Times New Roman"/>
        <family val="1"/>
        <charset val="204"/>
      </rPr>
      <t>Спил и валка деревьев: ЦДО-185,02, устройство ограждения ЦДО - 814,63 ; гидроизоляция вводов системы отопления - 84,68; выполнение работ по замене линолеума - 70,44 ; поставка жалюзи - 25,36 ; поставка  эл.обогревателя - 8,58.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</si>
  <si>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- 6924,69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 оплата труда-6 523,92, коммунальные услуги -54,28,  приобретение основных средств- 250,53, приобретение мат.запасов-95,96. 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</si>
  <si>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- 18418,7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оплата труда- 17914,25 , услуги связи-51,6 , коммунальные услуги -200,4 , услуги по сод.имущества - 131,8 , прочие услуги - 47,2 , прочие расходы-3,35 , приобретение основных средств- 4,5 , приобретение мат.запасов-65,6.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</si>
  <si>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- 68376,0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-42 996,8,  услуги связи - 131,89 , транспортные услуги- 291,5, коммунальные услуги -12 336,17, услуги по сод.имущества -3 036,65, прочие услуги- 1 324,65, прочие расходы- 5 622,65, приобретение основных средств- 362,44, приобретение мат.запасов- 2 273,25.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</si>
  <si>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3.Капитальный ремонт в муниципальных учреждениях, в том числе проектно-сметная документация- 2311,952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Выполнение сметной документации: д/с Звездочка-10,0, оценка тек. Состояния строит. Конструк. Здания д/с Ромашка-180,00 ; капитальный ремонт прачечной д/с Родничок - 600,00; капитальный ремонт гидроизоляции вводов отопления д/с Родничок - 80,7 ; капитальный ремонт трубопровода холодного водоснабжения д/с Родничок - 79,952; капитальный ремонт - устройство эвакуационных выходов д/с Солнышко - 198,41; сопровождение сметной документации для прохождения экспертизы ПСД "Кап.ремонт здания":  д/с Звездочка - 30,0 ,экспертиза ПСД "Кап.ремонт здания":  д/с Звездочка -53,13; капитальный ремонт электрооборудования помещения прачечной  д/с Родничок - 47,92; кап.ремонт пожарной лестницы д/с Солнышко - 599,5;  кап.ремонт электрооборудования д/с Аленушка - 262,34; составление отчета и проведение обследования мягкой кровли здания - д/с Ласточка - 90,00; выполнение псд по устройству выхода из подвала здания д/с Ромашка - 80,00.</t>
    </r>
  </si>
  <si>
    <t xml:space="preserve">^Приобретение газонокосилки, воздуходува д/с Радуга - 30,0 .                                                                                                                                  ^Гидроизоляция вводов системы отопления:  д/с Звездочка - 84,68 ; д/с Рябинушка - 84,68 ; д/с Аленушка - 84,68; д/с Ласточка - 84,68 ; д/с Солнышко - 84,68 ; д/с Ромашка -84,68.                                                                                                                                    </t>
  </si>
  <si>
    <r>
      <rPr>
        <b/>
        <i/>
        <sz val="15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 образования - 146871,42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труда- 145853,26, услуги связи- 50,89, прочие услуги- 944,9, приобретение материальных запасов-22,37.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</si>
  <si>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-180967,11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МБ- оплата труда-64 182,37 , услуги связи-245,41, транспортные услуги-3 211,64, коммунальные услуги-54 503,07, аренда-200,34,услуги по сод.имущества- 14 165,28 , прочие услуги-7 337,61, страхование-256,41, прочие расходы-17 254,99 , приобретение основных средств-928,37, приобретение мат.запасов-18 681,62. </t>
    </r>
  </si>
  <si>
    <r>
      <rPr>
        <b/>
        <i/>
        <sz val="15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     12977,68 (МБ),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Проверка смет.док. на кап.ремонт здания Чапаевская СОШ-10,0 ; выполнение сметной документации на кап ремонт здания: Красноозерная ООШ-225,00, Усть-Бюрская СОШ-295,00; гос. экспертиза ПСД: Красноозерная ООШ-83,48; строительный контроль : Чапаевская СОШ - 180,0, Сапоговская СОШ -57,94;  У-Бюрская СОШ-191,65;  Капитальный ремонт  кровли : В-Биджинская СОШ - 474,86 , Сапоговская СОШ - 361,99 ;  капитальный ремонт электрооборудования :  В-Биджинская СОШ - 237,62 ; капитальный ремонт спортивного зала Красноозерная ООШ - 1 609,33 ; капитальный ремонт отопления Опытненская СОШ - 1718,25 , капитальный ремонт крыльца, тамбура и гардероба Солнечная СОШ - 1 464,93 ;  капитальный ремонт-монтаж перегородок Солнечная СОШ - 244,91; оценка текущего состояния строительных конструкций Чапаевская СОШ - 185,0; капитальный ремонт актового зала В-Биджинская СОШ - 1599,27 ; устройство пандуса Солнечная СОШ - 242,53 , замена окна  Солнечная СОШ - 71,06; устройство септика Чапаевская СОШ - 279,97 ; кап.ремонт отопления Опытненская СОШ - 153,28 ; замена дверей и окон:  Опытненская СОШ - 429,9 , Красноозерная ООШ - 108,24, В-Биджинская СОШ - 407,65 ,Доможаковская СОШ - 188,96 ;ремонт туалета Калининская СОШ - 519,74; ремонт входной группы - 237,76 ; ремонт освещения в гардеробе и туалете Калининская СОШ - 156,42 ; ремонт вводного кабеля ОШИ - 211,03; ремонт электрооборудования : Весенненская СОШ - 187,66 , Чарковская СОШИ - 451,36 , Солнечная СОШ - 79,67 ; строительный контроль: Чапаевская СОШ - 270,0, В-Биджинская СОШ - 43,22.                                     </t>
    </r>
  </si>
  <si>
    <r>
      <rPr>
        <b/>
        <i/>
        <sz val="15"/>
        <rFont val="Times New Roman"/>
        <family val="1"/>
        <charset val="204"/>
      </rPr>
      <t>6.Ежемесячное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- 62990,78 (ФБ)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</si>
  <si>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7.Обеспечение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- 655707,15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задания: из средств респуб.бюджета на оплату труда-649 036,31, услуги связи-83,64, прочие услуги-1 981,46, приобретение основных средств- 2 550,86, приобретение мат.запасов -2 054,88.</t>
    </r>
  </si>
  <si>
    <t>8.Приобретение жилья для специалистов с высшим педагогическим образованием -2883,43, из них 2648,45(РХ), 234,98 (МБ)</t>
  </si>
  <si>
    <r>
      <t>9.Реализация мероприятий по развитию общеобразовательных организаций - 6395,2 (РХ):                                                    ^</t>
    </r>
    <r>
      <rPr>
        <sz val="15"/>
        <rFont val="Times New Roman"/>
        <family val="1"/>
        <charset val="204"/>
      </rPr>
      <t xml:space="preserve">Кап. ремонт -монтаж ПС: Усть-Абаканская СОШ-2 920,46; кап.ремонт - замена окон : Весенненская СОШ - 931,0 , Чапаевская СОШ - 441,0 ; Монтаж уличного освещения: Опытненская СОШ - 299,99 , Райковская СОШ - 35,54, Усть-Абаканская СОШ - 970,65, Чарковская СОШИ - 512,36; Приобретение игрового оборудования на участок Красноозерная ООШ - 284,2. </t>
    </r>
  </si>
  <si>
    <t xml:space="preserve">11.Организация школьного питания - 7718,41 из них: 2390,63 (МБ), 5327,78 (РХ).         </t>
  </si>
  <si>
    <r>
      <t>12.Укрепление материально технической базы кабинетов хакасского языка в муниципальных общеобразовательных организациях-1000,41 из них 980,0 (РХ), 20,41 (МБ).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Приобретение оборудования для кабинета хакасского языка Чарковская СОШИ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</si>
  <si>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- 12728,84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из них: оплата труда-11 730,86, командировоч. расходы-14,67, услуги связи-56,35, услуги по сод.имущества-116,77, прочие услуги- 606,64,  приобретение основных средств- 111,69, приобретение мат.запасов-91,86.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</si>
  <si>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>2.Поощрение соответствующих муниципальных управленческих команд, способствовавших достижению Республикой Хакасии в 2023 году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субьектов Российской Федерации, источником финансового обеспечения которых является дотация (грант) из федерального бюджета-177,31 (ФБ)</t>
    </r>
    <r>
      <rPr>
        <sz val="15"/>
        <rFont val="Times New Roman"/>
        <family val="1"/>
        <charset val="204"/>
      </rPr>
      <t>Оплата труда</t>
    </r>
  </si>
  <si>
    <r>
      <rPr>
        <b/>
        <i/>
        <sz val="15"/>
        <rFont val="Times New Roman"/>
        <family val="1"/>
        <charset val="204"/>
      </rPr>
      <t>3.Обеспечение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- 35316,42 (МБ),</t>
    </r>
    <r>
      <rPr>
        <sz val="15"/>
        <rFont val="Times New Roman"/>
        <family val="1"/>
        <charset val="204"/>
      </rPr>
      <t xml:space="preserve"> из них: оплата труда-31 289,68, услуги связи-119,94, коммунальные услуги-629,69 , услуги по сод.имущества- 488,8 , прочие услуги-   1 897,45,страхование-11,48, прочие расходы-15,41,приобретение основных средств-277,81, приобретение мат.запасов-586,16.</t>
    </r>
  </si>
  <si>
    <r>
      <rPr>
        <b/>
        <i/>
        <sz val="15"/>
        <rFont val="Times New Roman"/>
        <family val="1"/>
        <charset val="204"/>
      </rPr>
      <t xml:space="preserve">4.Обеспечение деятельности подведомственных учреждений (Центр поддержки одаренных детей, Центр поддержки детей с ограниченными возможностями) - 2085,83 (МБ), </t>
    </r>
    <r>
      <rPr>
        <sz val="15"/>
        <rFont val="Times New Roman"/>
        <family val="1"/>
        <charset val="204"/>
      </rPr>
      <t>из них: оплата труда-1 783,35, услуги связи-16,0, услуги по сод.имущества- 23,06, прочие услуги-185,34, приобретение основных средств-44,97, приобретение мат.запасов-33,11.</t>
    </r>
  </si>
  <si>
    <r>
      <t>«Региональный проект Республики Хакасия "Цифровая образовательная среда»                                                                   1.</t>
    </r>
    <r>
      <rPr>
        <b/>
        <i/>
        <sz val="16"/>
        <rFont val="Times New Roman"/>
        <family val="1"/>
        <charset val="204"/>
      </rPr>
  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(в том числе софинансирование с республиканским бюджетом)-3947,67, из них 39,48 (МБ),39,08 (РХ), 3869,11 (ФБ):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6"/>
        <rFont val="Times New Roman"/>
        <family val="1"/>
        <charset val="204"/>
      </rPr>
      <t>Приобретение оборудования для кабинета ЦОС В-Биджинская СОШ</t>
    </r>
  </si>
  <si>
    <t xml:space="preserve">^Приобретение учебного обрудования для музея (грант) (310) Солнечная СОШ - 1000,00;                                                                                                                       ^Установка кабинок в туалетную комнату Росток (226) - 95,45                                                                                                                  ^ Монтаж аварийного освещения Опытненская СОШ (226) - 124,70 , монтаж розеток Опытненская СОШ (226) -36,25 .                                                                                                                                                                                                                             ^Приобретение оборудования на участок (310): В-Биджинская СОШ - 150,0 ; Весенненская СОШ - 150,0 ; Московская СОШ - 145,0 ; Сапоговская СОШ - 150,0                                                                                                                                                                          ^Приобретение оборудования, мебели  для пищеблока (310) :  В-Биджинская СОШ - 52,1; Сапоговская СОШ - 89,3 , Доможаковская СОШ-37,19, Весенненская СОШ - 232,47; Райковская СОШ - 71,76 ;                                                                                                                                                                                                                     ^Приобретение мебели  (310) :Росток диван - 49,56  , лестницы для кровати - 26,2, столы, стулья - 482,4 , Весенненская СОШ - 142,9 , Чарковская СОШИ  - 45,0 ; стол демонстрационный Солнечная СОШ - 63,88.                                                                                                                                                                                                        ^Приобретение оргтехники (веб.камера), канц. товаров, материалов для ГИА (310,346) Опытненская СОШ - 46,3, Усть-Абаканская СОШ-29,57  , Усть-Бюрская СОШ-1,26 , Калининская СОШ-9,37 ,  Сапоговская СОШ-12,07.                                                                                                                                                                                                                  ^Приобретение огнетушителей (310): Расцветская СОШ - 13,5; Усть-Абаканская ОШИ - 0,9; Росток - 7,2 , Сапоговская СОШ - 15,65 , Солнечная СОШ - 0,87, Усть-Абаканская СОШ - 28,8,пож.знаков Чапаевская СОШ-4,9.                                                      ^Замена светильников (225): Московская СОШ-135,53 , Сапоговская СОШ-53,42 ,Усть-Абаканская ОШИ -26,71 , </t>
  </si>
  <si>
    <r>
      <rPr>
        <b/>
        <i/>
        <sz val="15"/>
        <rFont val="Times New Roman"/>
        <family val="1"/>
        <charset val="204"/>
      </rPr>
      <t>4.Мероприятия по развитию дошкольного образования - 8942,87 (МБ),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вентиляции в пищеблоке д/с Звездочка - 110,41; д/с Аленушка-304,77.                                                                                                                       ^Текущий ремонт кровли: д/с Ласточка-235,5;                                                                                                                                                          ^Демонтаж бетонных беседок: д/с Ласточка-174,95;                                                                                                                              ^Приобретение мед. оборуд. и инвентаря: д/с Ласточка-72,3;                                                                                                                                                        ^Испытание пожарных кранов и лестниц,огражд.кровли, проверка качества огнезащитной обработки деревянных конструкций кровли: д/с Ромашка-12,8;  д/с Радуга-17,6.; д/с Рябинушка-20,2;д/с Калинка-19,16; д/с Звездочка-13,16; д/с Родничок - 6,8.                                                                                                                                                                                                                              ^Ремонт электрооборудования в группах д/с Аленушка - 281,49;                                                                                                           ^Приобретение мебели в группу д/с Звездочка - 30,0; д/с Аленушка-80,0; д/с Родничок (шкаф,стеллаж) - 48,87 т.руб., (стенд) - 12,35; д/с Аленушка (тумба для обуви) - 18,0 ;                                                                                                                   ^Приобретениие оборудования на участок д/с Звездочка - 150,0; д/с Аленушка -285,86;                                                                                                                                      ^Спилка и валка деревьев:д/с Ласточка -775,42;                                                                                                                                             ^Приобретение огнетушителей: д/с Ромашка-2,7, д/сРодничок-0,9;                                                                             ^Приобретение оборуд.и инвентаря в пищеблок: д/с Рябинушка-44,00, д/с Родничок-37,75;                                                                                           ^Устройство ограждения территории : д/с. Ласточка - 1500,48;                                                                                                                        ^Приобретение теневых навесов д/с Ласточка - 2330,88;                                                                                                                                                                    ^Повышение квалификации в области пожарной безопасности: д/с Звездочка - 7,5; д/с Калинка - 7,5 .; д/с Родничок - 7,5 ; д/с Радуга -7,5 ; д/с Ромашка - 7,5 ; д/с Рябинушка - 7,5 ; д/с Аленушка - 7,5 ; д/с Ласточка - 7,5 ; д/с Солнышко - 7,5.</t>
    </r>
  </si>
  <si>
    <r>
      <rPr>
        <b/>
        <i/>
        <sz val="15"/>
        <rFont val="Times New Roman"/>
        <family val="1"/>
        <charset val="204"/>
      </rPr>
      <t>4. Создание условия для обеспечения современного качества образования - 39171,61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^Замена дверей ПВХ В-Биджинская СОШ (225) - 58,23;                                                                                                               ^Замена электрооборудования на пищеблоке Доможаковская СОШ (225) - 185,05;                                                                                                               ^Замена эвакуационных дверей (225): Расцветская СОШ-410,65.                                                                                                           ^Установка противопожар. дверей: Опытненская СОШ (225) - 46,67; Усть-Абаканская ОШИ (225) - 140,0;  Чарковская СОШИ-230,0,  Райковская СОШ - 396,74                                                                                                                                                                                                                                                                                                                                                                                                ^Текущий ремонт (225):Сапоговская СОШ спортзала  - 350,0, устройство запасных выходов - 323,35, ремонт сан.узла для инвалидов - 232,21, ремонт системы видеонаблюдения - 43,05; В-Биджинская СОШ окраска стен кабинета ЦОС -173,55 , замена дверей  и облицовка оконных откосов в кабинетах Точка роста и ЦОС - 599,95; Весенненская СОШ ремонт кабинета Точка роста - 362,90, устройство противопожарных перегородок - 480,04; Доможаковская СОШ ремонт кабинета ОБЖ - 364,87, ремонт обеденного зала - 398,88,замена входных дверей - 585,01; Калининская СОШ замена трубопровода - 499,89; Московская СОШ ремонт системы отопления - 2872,66; Росток ремонт полов в столовой - 476,39, ремонт электрооборудования - 287,73; Расцветская СОШ замена перегородок - 296,24, Усть-Абаканская СОШ замена канализационных труб -367,65, ремонт в раздевалках спортивного зала - 599,76, окраска стен в кабинетах - 569,46 , ремонт электрооборудования - 65,30; ремонт кабинетов: Райковская СОШ - 534,00, Солнечная СОШ - 365,26; ремонт калитки Солнечная СОШ - 55,78;  ремонт зоны подачи в столовой Усть-Абаканская СОШ - 164,14; ремонт эл.оборудования в подвале Усть-Абаканская СОШ - 46,52 ; окрашивание стен Чапаевская СОШ - 249,00.</t>
    </r>
  </si>
  <si>
    <r>
      <t xml:space="preserve"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</t>
    </r>
    <r>
      <rPr>
        <b/>
        <i/>
        <sz val="15"/>
        <rFont val="Times New Roman"/>
        <family val="1"/>
        <charset val="204"/>
      </rPr>
      <t xml:space="preserve"> 2551,7, из них 2526,2 (ФБ), 25,5 (РХ)  </t>
    </r>
    <r>
      <rPr>
        <sz val="15"/>
        <rFont val="Times New Roman"/>
        <family val="1"/>
        <charset val="204"/>
      </rPr>
      <t xml:space="preserve">  Оплата труда советников.</t>
    </r>
  </si>
  <si>
    <r>
      <rPr>
        <b/>
        <i/>
        <sz val="15"/>
        <rFont val="Times New Roman"/>
        <family val="1"/>
        <charset val="204"/>
      </rPr>
      <t xml:space="preserve">13.Организация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- 38803,03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</t>
    </r>
    <r>
      <rPr>
        <b/>
        <sz val="15"/>
        <rFont val="Times New Roman"/>
        <family val="1"/>
        <charset val="204"/>
      </rPr>
      <t xml:space="preserve">388,03 (МБ), 3841,50 (РХ), 34573,50 (ФБ).                                                                                                                                                                 </t>
    </r>
  </si>
  <si>
    <r>
      <t xml:space="preserve">7.Реализация инициативного проекта"Родничок - территория счас тливого и безопасного детства"-400,0 (МБ):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Поставка теневого навеса д/с Родничок - 266,47; устройство брусчатки д/с Родничок - 133,53.</t>
    </r>
  </si>
  <si>
    <r>
      <t>10.Реализация мероприятий по развитию общеобразовательных организаций (софинансирование)-215,27 (МБ):                       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Софинансирование: кап. ремонт -монтаж ПС: Усть-Абаканская СОШ-59,6; кап.ремонт - замена окон : Весенненская СОШ - 19,0 , Чапаевская СОШ - 9,0; Монтаж уличного освещения: Опытненская СОШ - 6,12 , Райковская СОШ - 0,72 , Усть-Абаканская СОШ - 28,64, Чарковская СОШИ - 10,46,Калининская СОШ - 5,96 ; Приобретение игрового оборудования на участок Красноозерная ООШ - 5,8 ; кап.ремонт кровли Сапоговская СОШ - 38,2 ; замена окон Сапоговская СОШ - 17,17; монтаж видеонаблюдения: Усть-Абаканская СОШ  - 10,89, Чапаевская СОШ - 3,71.</t>
    </r>
  </si>
  <si>
    <r>
      <t>«Региональный проект Республики Хакасия «Современная школа»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(в том числе софинансирование с республиканским бюджетом)- 7735,99, из них 77,40(МБ), 76,59 (РХ), 7582,0(ФБ).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Приобретение оборудования для кабинета  Точка роста : Весенненская СОШ - 779,07 , Чапаевская СОШ - 1739,23 , В-Биджинская СОШ - 1739,23, Солнечная СОШ -1739,23 , Райковская СОШ - 1739,23.</t>
    </r>
  </si>
  <si>
    <r>
      <rPr>
        <b/>
        <sz val="15"/>
        <rFont val="Times New Roman"/>
        <family val="1"/>
        <charset val="204"/>
      </rPr>
      <t xml:space="preserve">8. Ремонт автомобильных дорог:Всего - </t>
    </r>
    <r>
      <rPr>
        <sz val="15"/>
        <rFont val="Times New Roman"/>
        <family val="1"/>
        <charset val="204"/>
      </rPr>
      <t>24 603,2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- ул. Терешковой, с. Усть-Бюр (330м) -1 876,9;                                                                                                                                                                              - аал Чарков - аал Ах-Хол-аал Майский на участке аал Чарков - аал Ах-Хол км 6+156 - км 9+600 (3,444 км) -                                            5 946,8;                                                                                                                                                                                                                                                       - автомобильная дорога с. Зеленое - д. Заря (671 м) - 2 976,4;                                                                                                                                                                           - автомобильная дорога с. Зеленая - д. Заря км 3+900 - км 5+700 (1,8 км) - 5 472,2;                                                                                              - ул. Механизаторская аал Доможаков (700м) - 4 871,4;                                                                                                                                                                        - ул. Школьная на участке км 0+670 - км 1+000 с. Вершино-Биджа (328 м) - 3 428,9;                                                                                                                                               - ямочный ремонт асфальтобетонного покрытия в границах муниципального образования Московский сельсовет -                                          30,6.</t>
    </r>
  </si>
  <si>
    <r>
      <t>1.Мероприятия по обеспечению сохранности существующей сети автомобильных дорог общего пользования местного значения - 30911,46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>1.Содержание автомобильных дорог:</t>
    </r>
    <r>
      <rPr>
        <sz val="15"/>
        <rFont val="Times New Roman"/>
        <family val="1"/>
        <charset val="204"/>
      </rPr>
      <t xml:space="preserve"> Всего - 3 408,63, в том числе: Содержание автомобильных дорог местного значения в границах муниципального образования Чарковский сельсовет, Усть-Бюрский сельсовет Усть-Абаканского района Республики Хакасия- 320,5 (Чарковский с/с -29,2, Усть-Бюрский с/с - 291,3); 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(аал Чарков - аал Ах-Хол-аал Майский; Подъезд к аал Бейка; аал Чарков- аал Уйбат) -1 437,0.;  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-551,8;  Содержание автомобильных дорог местного значения в границах муниципального образования Вершино-Биджинский сельсовет, Московский сельсовет - 535,8 (В.Биджинский с/с - 284,7, Московский с/с - 251,1); 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(Подъезд к п. Ильича, аал Доможаков - аал Трояков, аал Райков-аал Баинов) - 396,6; Содержание автомобильных дорог местного значения в границах муниципального образования Доможаковский сельсовет - 166,93.                 </t>
    </r>
  </si>
  <si>
    <r>
      <t xml:space="preserve">5.Подготовка документов территориального планирования и правил землепользования и застройки- 747,0 </t>
    </r>
    <r>
      <rPr>
        <sz val="15"/>
        <rFont val="Times New Roman"/>
        <family val="1"/>
        <charset val="204"/>
      </rPr>
      <t>из них</t>
    </r>
    <r>
      <rPr>
        <b/>
        <sz val="15"/>
        <rFont val="Times New Roman"/>
        <family val="1"/>
        <charset val="204"/>
      </rPr>
      <t xml:space="preserve"> 723,3 (РХ), 23,7 (МБ):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^Кредиторская задолженность за 2023 год:  научно-исследовательские работы по разработке СТП Усть-Абаканского района РХ-723,3,  разраб.проектов о внесении изм.в док.тер.план.и град.зонир.Усть-Бюрского и Сапоговского с/с - 12,4, работы по описанию местоп.гран.тер.зон (устранение реестр.ошиб.в ЕГРН) - 11,3. </t>
    </r>
  </si>
  <si>
    <t>Ремонт ДГУ д/с Калинка 106,2; замена светильников д/с Радуга - 19,94; ремонт электрооборудования д/с  Ромашка - 29,43; ремонт системы отопления д/с  Аленушка - 68,09 ; ремонт узла управления д/с Аленушка - 86,98; ремонт входной калитки д/с Ласточка - 11,66; ремонт системы вентиляции д/с Ласточка - 140,12; устройство ограждения д/с Ласточка - 193,18; замена уличных светильников д/с Ласточка - 26,29; ремонт узла управления д/с Солнышко - 97,87; монтаж теневых навесов д/с Родничок - 108,52; монтаж светильников д/с  Солнышко - 35,48; оборудование для группы д/с Ромашка - 176,3, поставка МФУ д/с  Ромашка - 30,0 ; поставка оборудования для группы д/с Ромашка - 400,00; Мебель для группы : д/с Рябинушка (стулья) - 50,00; д/с Аленушка (стулья) - 63,11; оборудование для пищеблока: д/с Аленушка (холодильник) - 15,00; д/с Ласточка - 61,03; поставка оборудования для группы ЛФК д/с Ласточка - 31,74</t>
  </si>
  <si>
    <r>
      <t xml:space="preserve">6.Модернизация региональных систем дошкольного образования - 471,571, из них:  462,14 (РХ), 9,431 (МБ)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^Монтаж системы речевого оповещения : д/с Калинка - 278,771; д/с Ласточка - 192,8.</t>
    </r>
  </si>
  <si>
    <t>^Приобретение кондиционеров: Доможаковская СОШ-81,04, Усть-Абаканская СОШ-1514,63,                                                                                  Замена обрешетки на батареях в спортзале: Солнечная СОШ-48,83,                                                                                                                                                                       Разработка ПСД системы ПС:В-Биджинская СОШ-204,0,Доможаковская СОШ-50,0 , Росток-178,0, Чарковская СОШИ-300,00,                                                                                                                                                                                                       Установка защитных экранов в спортзале Расцветская СОШ: 125,93,                                                                                                                                                     Приобретение стройматериалов (346) В-Биджинская СОШ - 235,23,                                                                                                                                                                                                                                                                                Испытание пож. кранов,лестниц, проверка кач. огнез. обработки: Росток-13,0, Усть-Абаканская ОШИ-21,0, В-Биджинская СОШ - 10,3; Весенненская СОШ - 25,0; Московская СОШ - 19,6; Усть-Абаканская СОШ - 58,6; Усть-Бюрская СОШ -10,6; Калининская СОШ - 10,0;                                                                                                                                                                                    Приобретение пожарных знаков Росток (346) - 11,12,                                                                                                                                                                   Приобретение жалюзи (310): В-Биджинская СОШ - 108,83,                                                                                                                                                                                                                   Повышение квалификации в области пожарной безопасности (226): Доможаковская СОШ - 7,5, Красноозерная ООШ - 7,5 , Московская СОШ - 7,5, Росток - 5,0, Опытненская СОШ - 7,5, Солнечная СОШ - 2,5,Усть-Абаканская ОШИ - 5,0, Усть-Абаканская СОШ-7,5, Усть-Бюрская СОШ - 7,5, Чарковская СОШИ - 7,5, Райковская СОШ  - 7,5                                                                                                                                                                                                                                                   Приобретение табличек для кабинета Точка роста: В-Биджинская СОШ - 8,48 , Весенненская СОШ - 37,5, Райковская СОШ - 4,88,Солнечная СОШ - 24,54 , Чапаевская СОШ - 14,58 ,                                                                                                  Установка игрового оборудования на участок(226): Солнечная СОШ - 65,0 ; В-Биджинская СОШ - 66,5; Московская СОШ - 73,5,</t>
  </si>
  <si>
    <t xml:space="preserve">Монтаж электрооборудования (226) Доможаковская СОШ -171,1,                                                                                                                                                     Монтаж АУПС (226) Московская СОШ - 426,78,                                                                                                                                                                       Монтаж локально-вычислительной сети (226) Солнечная СОШ - 52,35,                                                                                                                                                                Приобретение устройства для искусственного дыхания (346) Доможаковская СОШ -7,8,                                                                                                                         Гидроизоляция вводов системы отопления: Калининская СОШ - 84,68; Расцветская СОШ - 84,68 ; Усть-Абаканская СОШ - 426,41, ОШИ - 84,68;                                                                                                                                                                                                               Ремонт узла управления Росток - 137,47,                                                                                                                                                                                                               Приобретение стойки мобильной для интерактивной панели В-Биджинская СОШ - 52,00,                                                                                                                                       Приобретение экрана, проектора опытненская СОШ-50,00,                                                                                                                                                                          Обучение кочегаров: Чапаевская СОШ - 12,00,                                                                                                                                                                                           </t>
  </si>
  <si>
    <t>Сопровождение детей на финал Всероссийского конкурса военно-спортивной игры "Победа" г. Москва Усть-Абаканская СОШ - 42,13; устройство пандуса В-Биджинская СОШ - 245,53; замена конфорки В-Биджинская СОШ - 29,41; огнезащитная обработка кровли Весенненская СОШ - 14,0 ; ремонт системы вентиляции Доможаковская СОШ - 70,14 ;выполнение сантехнических работ Калининская СОШ - 152,55 ; замена канализационных стояков Калининская СОШ - 100,00 ; установка игрового оборудования на участок Красноозерная ООШ -85,5 ; ремонт теплового узла Красноозерная ООШ - 89,66; ремонт теплотрассы Московская СОШ -2647,9; замена окон Московская СОШ - 74,5 .; ремонт окон Опытненская СОШ - 66,6 ; Устройство пандуса Опытненская СОШ - 242,53 ; замена окон Райковская СОШ- 115,6; замена окон Расцветская СОШ - 329,04 ;замена входной калитки Расцветская СОШ - 55,78, замена входной калитки Сапоговская СОШ - 55,78 ; ремонт крыши котельной Сапоговская СОШ - 485,6 ; аварийно-восстановительный ремонт Солнечная СОШ - 116,73 ; замена входной калитки Солнечная СОШ - 55,78 ; ремонт кабинета Солнечная СОШ - 481,32; ремонт туалета  и пищеблока Солнечная СОШ - 57,67; установка противопожарных дверей Усть-Абаканская СОШ - 124,0 ; замена окон Усть-Абаканская СОШ - 875,28 ; частичный ремонт кровли Усть-Абаканская СОШ - 145,88; ремонт узла управления Усть-Абаканская СОШ - 328,93; аварийно-восстановительный ремонт кровли Усть-Абаканская СОШ - 278,65 ; замена ламп и светильников Усть-Абаканская СОШ - 526,93 ; устройство пандуса Усть-Бюрская СОШ - 290,0 ; доп.работы по устройству универсальной спорт.площадки Чапаевская СОШ - 305,0 ; утепление кровли Чарковская СОШИ - 598,49; устройство пандуса Чарковская СОШИ - 242,53; обучение кочегаров Весенненская СОШ - 11,5 ;  монтаж вытяжного шкафа Доможаковская СОШ - 212,86 ; обучение кочегаров Доможаковская СОШ - 4,5.</t>
  </si>
  <si>
    <t xml:space="preserve"> Устройство перегородок в гардеробе Калининская СОШ - 433,16; монтаж вентиляции Калининская СОШ - 196,47; монтаж системы видеонаблюдения Опытненская СОШ - 317,56 ; монтаж пожарной сигнализации Райковская СОШ - 94,54; монтаж электрооборудования Райковская СОШ - 47,06; установка игрового оборудования Сапоговская СОШ - 66,0; обучение кочегаров Сапоговская СОШ - 18,0 ; устройство площадки под мусорный бак Солнечная СОШ - 12,85; монтаж греющего кабеля Солнечная СОШ - 370,34; разработка ПСД АУПС Чапаевская СОШ - 47,0 ; монтаж системы дублирования видеосигнала Чапаевская СОШ - 26,0 ; монтаж вентиляционного вытяжного зонта Чапаевская СОШ - 58,41; монтаж локальной вычислительной сети Чапаевская СОШ - 205,0; монтаж уличного освещения Чапаевская СОШ - 486,17; монтаж системы контроля и управления доступом Чапаевская СОШ - 38,6 ; поставка огнетушителей: В-Биджинская СОШ - 13,5, Весенненская СОШ - 32,74; Усть-Абаканская СОШ - 13,5; поставка мебели (столы, стулья) В-Биджинская СОШ - 196,0; поставка насоса циркуляционного Доможаковская СОШ - 66,16 ; поставка микрофона Доможаковская СОШ- 12,16; поставка жалюзи, посудомоечной машины, тепловой навесы Доможаковская СОШ-358,61; поставка кресла руководителя Доможаковская СОШ - 10,04; поставка гардеробной системы Калининская СОШ - 180,8 ; поставка цифрового фортепиано Красноозерная ООШ - 30,0 ; поставка жалюзи Райковская СОШ - 10,0;поставка холодильника, кресла Райковская СОШ - 40,0; поставка котла водогрейного(термо-робот) Райковская СОШ - 1 862,0; поставка игрового оборудования: Райковская СОШ -140,0;Солнечная СОШ - 140,0 ; Усть-Бюрская СОШ - 140,0; Чарковская СОШИ - 140,0 ; поставка мебели: (стулья, скамья) Расцветская СОШ - 50,0, (столы, стулья) Сапоговская СОШ - 59,44 ; (стол, стулья) Солнечная СОШ - 145,16 , (диван) Усть-Абаканская СОШ - 20,0 . </t>
  </si>
  <si>
    <t>Поставка триммера бензинового Сапоговская СОШ - 50,0; поставка системного блока Сапоговская СОШ - 47,0 ; поставка ноутбука, принтера ОШИ - 50,0 ; поставка ИБП  ОШИ - 10,0 ; поставка мячей Усть-Абаканская СОШ - 41,08 ; поставка принтера , МФУ Усть-Бюрская СОШ - 150,0 ; поставка стола, ванны, сушилки Усть-Бюрская СОШ - 37,39 ;поставка термоса для еды Чапаевская СОШ - 72,3 ; поставка металлического контейнера  Чапаевская СОШ - 116,0 ; поставка жалюзи Чапаевская СОШ - 177,66 ; ремонт складов в подвале Усть-Абаканская СОШ - 927,44; проверка качества огнезащитной обработки кровли Усть-Абаканская СОШ - 52,0.</t>
  </si>
  <si>
    <t>Приобретение продуктов питания для мероприятий - 18,78 , приобретение для награждения "Учитель года" "Про100Лидеры" телевизор, кофеварка, эл. гриль, пылесос, микроволновка - 68,05; награждение (грамоты, сувениры, цветы) - 344,06; денежная премия - 30,0.</t>
  </si>
  <si>
    <r>
      <rPr>
        <b/>
        <i/>
        <sz val="15"/>
        <rFont val="Times New Roman"/>
        <family val="1"/>
        <charset val="204"/>
      </rPr>
      <t xml:space="preserve">14.Реализация мероприятий по модернизации школьных систем образования (в том числе софинансирование с республиканским бюджетом)- 35095,17, из них 350,95(МБ), 3474,42 (РХ), 31269,80 (ФБ):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^Капитальный ремонт и оснащение средствами обучения и воспитания в полном объеме МБОУ "Чапаевская СОШ"</t>
    </r>
  </si>
  <si>
    <r>
      <rPr>
        <b/>
        <sz val="15"/>
        <rFont val="Times New Roman"/>
        <family val="1"/>
        <charset val="204"/>
      </rPr>
      <t>"Реализация инициативных проектов муниципального образования"                 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Реализация  инициативного проекта Актовый зал школы - центр молодежных инициатив " МБОУ "Усть-Абаканская СОШ им.М.Е.Орлова"-550,0 (МБ)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Приобретение кресел для актового зала школы Усть-Абаканская СОШ.</t>
    </r>
  </si>
  <si>
    <r>
      <t xml:space="preserve">2.Реализация инициативного проекта "Спортивная молодеж - сильная Россия" - 400,00 (МБ)                                                          </t>
    </r>
    <r>
      <rPr>
        <sz val="15"/>
        <rFont val="Times New Roman"/>
        <family val="1"/>
        <charset val="204"/>
      </rPr>
      <t xml:space="preserve">Устройство универсальной спортивной площадки (минифутбол, волейбол) Чапаевская СОШ 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</si>
  <si>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- 1086,9 (МБ)</t>
    </r>
    <r>
      <rPr>
        <sz val="15"/>
        <rFont val="Times New Roman"/>
        <family val="1"/>
        <charset val="204"/>
      </rPr>
      <t>, из них:                                                                                                                                                           Участие команд школьников района в выездных мероприятиях - 517,1, приобретение фотобумаги -3,7, дистанционная олимпиада для дошкольников и младших школьников по функциональной грамотности - 1,0; школьная лига - 5,0;  муниципальный этап всероссийского конкурса юных чтецов "Живая классика" - 0,5; районный конкурс "Жила-была Царевна..." среди воспитанников дошкольных образовательных организаций - 1,0; открытая дистанционная этнокультура Олимпиады для  учащихся 1-4 классов "Народные промыслы" - 0,5, поощрительные выплаты выпускникам-72,0, награждение организаций с одаренными детьми-30,0, награждение выпускников-120,0, награждение одаренных детей-336,1.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</si>
  <si>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- 1258,3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Открытое первенство Усть-Абаканского района по военно-спортивному многоборью "Юнармейцы в юбках" - 33,0; приобретение медалей и кубков - 66,0, приобретение канц.товаров - 32,5, Мероприятие " Она звучит не умирая"-20,0 (сувениры, оформление), турнир по каратэ (призы)-12,48; спартакиада молодежи допризывного возраста -92,92, инфор. стенд с гос. символикой-13,44, манекен детский-24,96 , ветровки-82,5 , инфор. стенд-429,44, древко для флага-7,4 , инфор.листовки-4,2 , сапоги, пилотки-79,84, орг.питания участников пятидневных сборов-6,6, медали-1,68, пилотки-6,46, фурнитура-2,2 , Военно-патриотические  учебные сборы «Вершина» для юнармейцев Усть-Абаканского района - 74,68; военно-полевые сборы старшеклассников - 8,28; поставка ноутбука, мед. принадлежностей, пульки - 171,3; жалюзи - 30,0; поставка баннера 21,0 ;  поставка баннера - 37,42.</t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</si>
  <si>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5994,4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- 435,1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^Проведены мероприятия по ликвидации ЧС, связанному с ЗУД в а. Сапогов -274,0;                                                                                                                       ^Приобретение наглядной агитации, баннер и памяток - 25,5.                                                                                                    ^Закупка имущества для формирования резерва ЧС и запасов ГО - 135,6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3. Материально-техническое обеспечение единых дежурно-диспетчерских служб муниципальных образований - 392,5, из них 384,6(РХ),7,9 (МБ):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Приобретены 7 систем оповещения (333,7), система записи телефонных переговоров (47,4), форменная одежда для работников ЕДДС-11,4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4.</t>
    </r>
    <r>
      <rPr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Иные межбюджетные трансферты на мероприятия по защите населения от чрезвычайных ситуаций, пожарной безопасности и безопасности на водных объектах</t>
    </r>
    <r>
      <rPr>
        <sz val="15"/>
        <rFont val="Times New Roman"/>
        <family val="1"/>
        <charset val="204"/>
      </rPr>
      <t xml:space="preserve"> - </t>
    </r>
    <r>
      <rPr>
        <b/>
        <sz val="15"/>
        <rFont val="Times New Roman"/>
        <family val="1"/>
        <charset val="204"/>
      </rPr>
      <t>198,2</t>
    </r>
    <r>
      <rPr>
        <b/>
        <i/>
        <sz val="15"/>
        <rFont val="Times New Roman"/>
        <family val="1"/>
        <charset val="204"/>
      </rPr>
      <t xml:space="preserve"> (МБ)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мероприятий по созданию минерализованных полос вокруг населенных пунктов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</si>
  <si>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- 3761,20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  <r>
      <rPr>
        <sz val="15"/>
        <rFont val="Times New Roman"/>
        <family val="1"/>
        <charset val="204"/>
      </rPr>
      <t xml:space="preserve"> 1. Блокадный хлеб - 3,20; 2. Конкурс рисунков "Стоит на страже Родины солдат" - 3,50; 3. Возложение - 13,00; 4. мастер-класс-4,0; 5. Открытие выставки "Герои наших дней" - 10,0; 6. Приобретение материалов на мероприятие "Широкая масленница" - 3,0; 7. Приобретение материалов д/проведения мероприятия к юбилею У-Абаканского р-на - 300,00; 8. Юбилей района-150,00; 9. Встреча 3-х поколений-9,13; 10. Квест "Наша Победа"-18,0; 11. Пасха-6,0; 12. Возложение к могиле неизвестного солдата-13,0; 13. 9 мая-588,74; 14. Памятник СВО-10,00; 15. Автопробег-59,34; 15. Дети войны-7,0; 16. Яркие краски детства-2,0; День Рождения Пушкина-2,0, Безопасное детство-5,0, профилактика вредных привычек-4,0, День России-5,0; 17. Телесуфлер-131,10; 18. мастер-класс "День семьи, любви и верности"-2,52; 19. день памяти и скорби-24,98; 20.Мероприяти, посвященные 100-летию района-603,05; 21.День ВМФ-15,04;  22.День ВДВ-4,8; 23.мусорные баки-78,46;  24.мастер-класс "Брелок своими руками"-9,39; 25.День флага-7,0; 26.Мега-пикник-1,52; 27.квест "Сталинградская битва"-2,66; 28.квест "Дальневосточная победа"-10,0; 29. квест "История нашего поселка"-10,0; 30. Изготовление дизайн-проекта - 217,0; Квест "Юный турист" - 4,0; Акция "Здравствуй, к знаниям дорога" - 4,0; Викторина на День грамотности - 2,0; Конкурс рисунков "День Победы в моей семье"-5,0; День космонавтики-8,0; Акция на День согласия - 3,0; Фотоконкурс "Моя страна-большая семья" - 4,0; Фотоконкурс "Мы с бабушкой и дедушкой" - 7,5; Фотоконкурс "Моя любимая мама" - 7,0; Митинг памяти жертв полит.репрессий - 5,0; День ВМФ - 10,0; Квест "Битва за Севастополь" - 6,02; День памяти войнов "Димитровская суббота" - 15,0; Новогодний квиз - 14,0;  100 лет Усть-Абак.р-ну - 100,0(футболки); Гастрон.фестиваль "Про капусту" - 56,72; 5,5; Звезда 3*5 инсталляция "Звездный коридор" - 109,0; Арт-объект "100 лет Усть-Абак.р-ну" - 300,0; Монумент труженикам Тыла - 180,0; Памятник ВМФ - 200,0;     </t>
    </r>
    <r>
      <rPr>
        <b/>
        <sz val="15"/>
        <rFont val="Times New Roman"/>
        <family val="1"/>
        <charset val="204"/>
      </rPr>
      <t xml:space="preserve">                               </t>
    </r>
    <r>
      <rPr>
        <sz val="15"/>
        <rFont val="Times New Roman"/>
        <family val="1"/>
        <charset val="204"/>
      </rPr>
      <t xml:space="preserve"> </t>
    </r>
  </si>
  <si>
    <t xml:space="preserve">Изготовление табличек на мемориале - 260,0; Изготовление мрам.досок - 30,0; мастер-класс - 8,0; Квиз "Герой Первой Мировой" - 7,0; Выставка-конкурс "Символ года" - 13,0; Конкурс "Люблю Россию" - 4,0; Новогодние праздники -19,87; Стенд-5,0 Мастер-класс "Новогодняя игрушка"-7,0; Стенды - 33,66                                                        </t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</si>
  <si>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- 1628,72 (МБ):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ДК Гагарина: 1. Конкурс ДПИ "Мама, папа, я-творч-ая семья (ко дню защитника Отечества) - 8,64; 2. На балу у Золушки (в т.ч.корета и/фанеры-12,0)-25,0; 3. Концерт на 8 марта (баннер, розы, бат.дюрасел)-10,0; 4. День России (баннер,аквагрим)-10,0; 5. Развлек прогр. "Разноцв. лето"-29,92; 6. 79 годовщ. Победы в ВОВ - 110,0 8.23 февраля10,0. 10.Районный выпускной-31,99; 11.День ВМФ-44,54; 12.Мероприятия, приуроченные к 100-летию района-152,64 13.Конкурс "Родная улица моя"-23,65; 14.день ВДВ-4,95; 18. Игровая программа "Поделись улыбкою своей" - 4,84;  20. Конкурс-викторина "Угадай мелодию" - 148,23; 21. Праздник "Масленница" - 6,58; День пожил. человека - 0,36; 23. Конкурс-дегустация Капустное загляденье" - 27,71; 27. Новогодние утренники - 166,35; 28. Новогодний бал для старшего поколения - 50,85;  30. Новог. праздник "Елка Главы" - 128,29.                                                                                                                                                                            РДК Дружба: 1. Уч-ие во Всеросс.конкурсе PACHKA (пошив в костюме 13 шт.)-117,00; 2. Выставка конкурс ДПИ "Слава тебе защитник"-4,0; 3. Благотворит.концерт в поддержку уч-ов СВО "Мы вместе" с. Калинино-3,6; 4. Выставка-конкурс "Пернатые друзья" - 7,0; 5. Фотоконкурс- 2,25; 6. Выездные мероприятия-10,76; 7. Поэтическая весна-(оформление, призы)-6,78; 8. Лето с Пушкиным (оформление, призы)-15,0; 10. Фестиваль патриот. песни-15,0; 11. Конкурс "Надежда нации"-13,6; 12. Пасха радость нам несет-8,67; 13. Респ.праздник "Чир Ине"-2,4; 16. Уч. в межрег. конкурсе вок. "Звонкие голоса Хакасии"-2,0; 18. Международный конкурс великая страна -КИТ-2,8; 19. Благотворит. концерт в поддержку СВО-1,53; 21.Выездные мероприятие. посвящ.100-летию района-16,0 22. Республ. фестиваль казачьей культуры "Казачий круг" г.Абаза - 17,0; 24. Выставка-конкурс "Батюшка Енисей" - 3,0; 25. Фестиваль "Делюсь теплом" - 11,34; 26. Выставка-конкурс "Магия зимы" - 17,54; 27. Новогодние мероприятия - 102,1; участие в мероприятиях-8,6; Усилитель-201,21; Ростовая кукла-45,0.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</si>
  <si>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- 7305,5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- 5135,8; 2. Социальные пособия и компенсации персоналу (ст.266) - 2,42; 3. Прочие несоциальные выплаты персоналу (ст. 212) - 0,5; 4. Командиров. расходы - 1,3; 5. Начисления на выплаты по оплате труда (ст.213) - 1564,1; 6. Услуги связи (ст.221) - 42,16; 7. Услуги по содержанию имущества (ст.225) - 20,6 (заправка картридж.); 8. Прочие работы и услуги (ст.226) - 365,36 (Консультант Плюс - 85,36 , размещ.инф. в регион.эфире - 280,00); 9. Увелич. ст-ти ОС (ст 310) - 103,27; 10. Увеличение стоимости прочих материальных запасов (ст. 346) - 69,7 (канц. Товары); 11. Прочие расходы (ст.290) - 0,29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</si>
  <si>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- 924,26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3-х поколений "Без права на забвение" - 3,0 (Продукты для орг. чаепития); 2. Квест "Территория здоровья" - 12,5; 3. 9 мая - 99,0; 10. Слет "Доброе дело" - 31,0; 11. Эко-неделя - 5,0; 13. Размещение видеосюжета - 176,0; 14. Грант Главы - 50,0; 15. Трудоустройство несовершеннолетних - 53,7; 16.День молодежи - 52,22; 17. Районная акция "Безымянных могил не бывает" - 23,0; 19. Мега-пикник - 50,86; 20.Районный конкурс "Молодежная инициатива" - 58,0; 21.Мероприятия, посвященные 100-летию района - 30,68; 22. Районный фестиваль "Про капусту" - 30,73; 23. Новогоднее мероприятие "Утро с МРЦ" - 28,32(подарок); 24. День студента - 0,54(продукты); 27. Районный конкурс "Волонтером быть здорово" - 20,0(материалы на пров-ие мер-ия); 28. 16 формум акт. молодежи - 88,46; 29. Районный квиз "Сыны России"- 22,15; 30.Районный конкурс "Талант в каждой строчке" - 37,1; Премия Главы-52,0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</si>
  <si>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- 1845,2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</t>
    </r>
    <r>
      <rPr>
        <b/>
        <u/>
        <sz val="15"/>
        <rFont val="Times New Roman"/>
        <family val="1"/>
        <charset val="204"/>
      </rPr>
      <t>СШ</t>
    </r>
    <r>
      <rPr>
        <sz val="15"/>
        <rFont val="Times New Roman"/>
        <family val="1"/>
        <charset val="204"/>
      </rPr>
      <t xml:space="preserve"> СШ 1. Тур-р п/хоккею с/мячом на кубок Главы -18,70 (сладкие призы); 2. Зимний фест-ль ГТО - 6,21 (медали,кубки,фоторамки);3. Перв-во р-на п/дартсу (р.п. У-Абакан, 2.03)-12,65 (медали, призы, баннер);4.Мини футбол  (р.п. У-Абакан, 27.03)-7,35 (медали, призы, кубки); 5. Перв-во п/футзалу (юноши) 25,26,29 мар.2024 - 11,46 (медали, кубки);  6. Перв-во п/волейболу (р.п. У-Абакан, 23 мар.2024)-6,99 (медали,кубки); 7. Хоккей с/мячом  (р.п. У-Абакан, с 02 по 03 мар.2024)-10,38 (медали,кубки,призы); 8. Тур-р Главы  п/хоккею с/мячом -40,0 (сертификаты 80 шт); 9. турнир по баскетб.по наст.теннису-6,43 (призы); 10. Турнир по наст.теннису -3,92 (призы); 11.Турнир по рук.бою - 3,8 (призы); 12. спартакиада ГТО - 7,68 (призы); 13. Первенство по шашкам - 2,34 (призы); 14. Мероприятия посв.Дню Победы - 50,0 (призы, оформление); 15. Открытый фестиваль хакас.нац.игр-21,6 (призы); 16. Размещение видеосюжетов-56,0; 17. Летний фестиваль ГТО -3,0 (призы); 18.Спартакиада ГТО - 3,69 (призы); 19. Спорт мероприятия посвящ.100-летию района -60,0 (оформление, призы); 20.День физкультурника-20,0 (призы); 21. Первенство Усть-Абаканской СШ по волейболу-13,5 (призы); 22.Открытие спортивного сезона - 29,46 (призы, питание); 23. Соревнование ГТО-3,46 (призы); 24.Тур-р СШ п/мини-футболу (юноши) - 2,85(сувениры); 25.7,2(кубки, медали, фоторамка); 26.Мер-тие "Открытие ледового катка" - 57,78 (файер-шоу, сладкий приз); 27.Разм-ие инф-ии видеосюжетов в регион. эфире - 125,0; 28.Спартакиада ВФСК ГТО - 13,5(баннер, медали, кубки); 29.Отк-ый Рег-ый тур-р п/спорт. (вольной) борьбе, посвящ. П.А. Аткнина - 15,93 (медали); 30.Тур-р п/настол. тенису (День народного единства) - 5,24 (статуэтки на камне, медали); </t>
    </r>
  </si>
  <si>
    <t xml:space="preserve">33.Отк-ый чемп-ат и перв-во Усть-Абак. р-на п/рукопашному бою - 14,25(статуэтка на камне); 34.Отк-ый тур-р п/хоккею с/мячом ко дню 100-летия Усть-Абак. р-на - 12,15( кубки, медали); 35.Перв-во СШ п/волейболу ко дню "Год семьи" - 13,59 (призы, медали, кубки); 36.Перв-во СШ п/шашкам (дошкольники) - 3,69 (медали, кубки); 37.Новог. тур-р п/настольному теннису СШ 20.12.2024 - 2,58(сладкие призы, медали); 38.Новог. тур-р п/волейболу (девочки) - 42,87 (сувениры, спортинвентарь); 39. Новог. тур-р п/баскетболу (мальчики) - 5,6 (сувениры);  40. Новог. тур-р спорт. мероприятий ко дню 100-летия Усть-Абак. р-на - 9,03 (сувениры)    </t>
  </si>
  <si>
    <t>УКМПСТ 1. Лыжня России-2024-25,30 (призы);  УСЗ: 1. Приобретение керлинга  - 120,00; приобретение наст. игр д/спортакиад-133,70; теннисный сто - 41,6; силовая рама, гиперэкстензия-102,98; пояс т/а-7,47 2. Веселые старты-3,92 (призы); 3. турнир по греко-римской борьбе - 8,55 (призы); 4.фестиваль настольных игр - 1,95 (призы); 5. турнир по мини-футболу - 14,04 (призы); 6. спартакиада спорт.и наст.игр - 6,49 (призы); 7. спорт.меропр.посвящ.Дню Победы-28,0 (призы); 8. размещение видеосюжетов-112,0; 9. фестиваль наст.и спорт. игр - 1,95 (призы); 10. открытая спартак.по конному спорту-14,1 (призы); 11. соревнования по керлингу-1,58 (призы); 12. турнир по футболу - 4,88 (призы); 13. соревнования по наст.играм-3,74 (призы); 14. фестиваль наст.игр для старшего поколения-1,95 (призы); 15.соревнования посв.Дню России-3,12 (призы); 16. фестиваль по керлингу - 3,12 (призы); 17.фестиваль настольных игр-6,54 (призы, продукты); 18.спортивные мероприятия посвященные 100-летию района - 60,0(призы); 19.соревнования по керлингу-4,43 (призы); 20.турнир по футболу среди дворовых команд-4,7 (призы); 21.День физкультурника-37,94 (призы, оформление, продукты); 21. 15,8(кубки, медали); 22.Районный осен. легкоатлет. забег "Кросс нации - 2024" - 13,9(медали, призы, баннер); 23.Тур-р п/футболу в честь памяти тренера-преп-ля А.В.Кондратьева - 11,3(медали, кубки, призы); 24.Откр-ый тур-р п/футболу (ветераны) - 12,28 (медали, кубки, призы); 25. Перв-во Усть-Абак. р-нап/баскетболу (мужские команды) - 10,81(кубки, медали и призы); 26.Районный тур-р п/наст. теннису (граждане с ОВЗ и старш. поколения) - 1,78( медали и призы; 27.Тур-р по наст. и спорт. играм среди лиц с ОВЗ и старш. поколения - 6,71(кубки, медали); 28.Спорт. фестиваль "Юнармия - семья" Год семьи - 128,2 (подар. наборы, баннер с люверс., шары для украш-я); 29.Тур-р п/керлингу (граждане с ОВЗ и старшего поколения) Междунар. день инвалидов - 14,65(кубки, медали); 30.Новог. турнир п/шахматам 8,5(кубки, медали); 31.Турнир по минифутболу, посвящ. Памяти футболиста Д.Спирина - 43,5(кубки, медали, статуэтки на камне, футб. мячи); 32.Оформление зала к Новому году - 93,84(лампа, гирлянды, елочн.игрушки)</t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</si>
  <si>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сертификатом- 57142,4 , в том числе 45387,9 (РХ), 11754,5 (ФБ).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10 квартир для лиц из числа детей-сирот и оставшихся без попечения родителей. 8 сертификатов - в стадии оформления.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</si>
  <si>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- 2473,17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- 1477,08; 2. Социальные пособия и компенсации персоналу - 1,25; 3. Начисления на выплаты по оплате труда (ст. 213) - 471,68; 4. Коммунальные услуги (откачка септика) (ст. 223) - 150,87; 5. Услуги по содержанию имущества (обслуж.орг.техники, ремонт ТС, устан.камеры видеонаблюдения) (ст. 225) - 6,3; 6. Прочие работы, услуги (антивирус, повышение квалификации, обслуживание сайта, обслуживание системы видеонаблюдения) (ст. 226) - 78,51; 7. Прочие расходы (налоги, пошлины, сборы) (ст. 297) - 39,54;  8. Увеличение стоимости материальных запасов (ГСМ, строительные материалы, дрова, уголь, канц.товары, хоз.товары) (ст.340) - 114,26; 9. Увеличение стоимости основных средств (ст.310) - 48,86; 10. Остаток на счете - 84,82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</si>
  <si>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Кредиторская задолженность - 17 345,3, в том числе: Ремонт автомобильной дороги ул. Механизаторская аал Доможаков(0,7км) - 1 602,9; Ремонт автомобильной дороги ул.Школьная  с. Усть-Бюр (0,625 км) - 2 044,3; Ремонт автомобильной дороги ул. М.Цукановой с. Вершино-Биджа (0,36км) - 3 738,8.; Ремонт автомобильной дороги ул. Полевая с. Вершино-Биджа (0,7 км) - 1 675 ,9; Ремонт автомобильной дороги ул. Школьная с. Вершино-Биджа (0,67км) - 5 237,3.; Ремонт автомобильной дороги ул. Степная аал Чарков (0,42км) - 3 046,1.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</si>
  <si>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-354,2 (МБ).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автомобильной дороги ул. Механизаторская аал Доможаков(0,7км) - 32,7; Ремонт автомобильной дороги ул.Школьная  с. Усть-Бюр (0,625 км) - 41,8.; Ремонт автомобильной дороги ул. М.Цукановой с. Вершино-Биджа (0,36км) - 76,4; Ремонт автомобильной дороги ул. Полевая с. Вершино-Биджа (0,7 км) - 34,2.; Ремонт автомобильной дороги ул. Школьная с. Вершино-Биджа (0,67км) - 106,9; Ремонт автомобильной дороги ул. Степная аал Чарков (0,42км) - 62,2.</t>
    </r>
  </si>
  <si>
    <t>план</t>
  </si>
  <si>
    <t>туризм</t>
  </si>
  <si>
    <t>имущество</t>
  </si>
  <si>
    <r>
      <rPr>
        <b/>
        <sz val="15"/>
        <rFont val="Times New Roman"/>
        <family val="1"/>
        <charset val="204"/>
      </rPr>
      <t>Поддержка одаренных детей и молодежи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-2646,28 (МБ), их них:                                                                               </t>
    </r>
    <r>
      <rPr>
        <sz val="15"/>
        <rFont val="Times New Roman"/>
        <family val="1"/>
        <charset val="204"/>
      </rPr>
      <t xml:space="preserve">ДШИ  1. Костюмы: женский (рубаха+сарафан), мужской (рубаха+брюки), туфли танцевальные, сапоги мужские - 211,0; Кофр на колесах - 34,54; Музыкальные инструменты (Гармонь "Шуйская") - 93,15; Пианино акустическое-500,0; 2.Проведение фортепианного конкурса "Апрельская лира" - 11,53; 3. Ремонт учебного класса школы искусств - 340,61                                                                                                                                                                                                 ДК Гагарина: 1. Алые паруса-1455,45.                                                                                                                                                               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</si>
  <si>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учреждений(ДШИ)- 20099,1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- 12537,23; 2. Соц. пособия (Б. листы) (ст. 266) - 10,6; 3. Прочие несоциальные выплаты (ст. 212) - 3,0;  4. Начисления на выплаты по оплате труда (ст.213) - 3962,41; 5. Услуги связи (ст.221) - 15,1; 6. Коммунальные услуги (ст.223) - 781,75; 7. Услуги по содержанию имущества (ст.225) - 218,56; 8. Прочие работы, услуги (ст.226) - 285,2(услуги по охране, обучение,подписка); 9. Прочие расходы (ст.297) - 4,2; 10. Увеличение стоимости материальных запасов (материалов) (ст. 346) - 25,61; 11. Увеличение стоимости основных средств (ст. 310) - 1700,74; 12. Командир. расходы - 6,6; Остаток на счете - 548,1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</si>
  <si>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- 607,1 (МБ):</t>
    </r>
    <r>
      <rPr>
        <b/>
        <sz val="15"/>
        <rFont val="Times New Roman"/>
        <family val="1"/>
        <charset val="204"/>
      </rPr>
      <t xml:space="preserve">                                                           </t>
    </r>
    <r>
      <rPr>
        <sz val="15"/>
        <rFont val="Times New Roman"/>
        <family val="1"/>
        <charset val="204"/>
      </rPr>
      <t xml:space="preserve"> РДК Дружба: 1. Чыл Пазы  - 30,7;  2. Тум пайрам - 264,14; 3. Уртун Тойы - 42,65; 4.Район.конкурс Абыхай - 15,0; сценическая обувь для коллектива "Добро"- 48,9;                                                                                                                                             ДК Гагарина: 1. Чыл Пазы  - 39,89; 2. Тум пайрам - 10,1. 3.Уртун Тойы-48,89;  4. Мастер-класс "Северная берегиня" - 37,65; 5. История рисунка-7,48; 6. История Хооснын-8,1                                                                                          САЛБЫК: 1. Участие в республиканском мероприятии "Уртун той" - 7,0; 2. Организация и участие мастер-класса - 7,6                                                                                                                                                                                                                                            ЦБС: комплектование книжных фондов-30,0;                                                                                                                                                                            УО: мероприятий, напр.на гармонизацию межнац.отношений-9,0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</si>
  <si>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4.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5"/>
        <rFont val="Times New Roman"/>
        <family val="1"/>
        <charset val="204"/>
      </rPr>
      <t xml:space="preserve">- </t>
    </r>
    <r>
      <rPr>
        <b/>
        <i/>
        <sz val="15"/>
        <rFont val="Times New Roman"/>
        <family val="1"/>
        <charset val="204"/>
      </rPr>
      <t>455,49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</t>
    </r>
    <r>
      <rPr>
        <i/>
        <sz val="15"/>
        <rFont val="Times New Roman"/>
        <family val="1"/>
        <charset val="204"/>
      </rPr>
      <t>:</t>
    </r>
    <r>
      <rPr>
        <b/>
        <i/>
        <sz val="15"/>
        <rFont val="Times New Roman"/>
        <family val="1"/>
        <charset val="204"/>
      </rPr>
      <t xml:space="preserve"> 10,89 (МБ), 444,6 (РХ).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</si>
  <si>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t xml:space="preserve">4. Государственная поддержка отрасли культуры за счет средств резервного фонда Правительства Российской Федерации- 138,37 , из них  2,77 (МБ), 13,6 (РХ), 122,0(ФБ).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Книжный фонд.</t>
    </r>
  </si>
  <si>
    <r>
      <rPr>
        <b/>
        <sz val="15"/>
        <rFont val="Times New Roman"/>
        <family val="1"/>
        <charset val="204"/>
      </rPr>
      <t xml:space="preserve">Развитие архивного дела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дела-128,9 (МБ),</t>
    </r>
    <r>
      <rPr>
        <sz val="15"/>
        <rFont val="Times New Roman"/>
        <family val="1"/>
        <charset val="204"/>
      </rPr>
      <t xml:space="preserve"> из них:               Архив:128,9 (стеллажи, сейф, архивные короба)</t>
    </r>
  </si>
  <si>
    <r>
      <t xml:space="preserve">4.Государственная поддержка отрасли культуры (денежное поощрение лучших сельских учреждений культуры)  (в том числе софинансирование с республиканским бюджетом)-103,06, в том числе 2,06 (МБ),                                                                                                       1,0 (РХ), 100,0 (ФБ):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ЦБС: телевизор,резак сабельный,кронштейн для ТВ в Расцветовскую библиотеку, ф-л 23.</t>
    </r>
  </si>
  <si>
    <r>
      <t xml:space="preserve">2.Осуществление органами местного самоуправления государственных полномочий в области охраны труда - 810,2 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Заработная плата с начислениями- 657,77;                                                                                                                                                                                              Кресло офисное-34,1;                                                                                                                                                                     Монитор-10,99;                                                                                                                                                                                                                                                                                                              МФУ-65,3;                                                                                                                                                                                                                                  Системный блок- 39,27;                                                                                                                                                                                                                                                             Клавиатура,мышь-0,84;                                                                                                                                                                                Веб.камера-1,35;                                                                                                                                                                                       Колонки-0,58.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</si>
  <si>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- 17904,00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- 12252,2; социальные пособия и компенсации персоналу - 26,9 ;прочие выплаты - 0,4; начисления на выплаты по оплате труда - 3600,6 ; услуги связи - 111,5; коммунальные услуги- 300,0; услуги по содержанию имущества - 135,3; прочие работы, услуги - 641,3; увеличение стоимости ГСМ - 267,8 ; увеличение стоимости мат.запасов - 164,3; увеличение стоимости основных средств - 381,9; увеличение стоимости мягкого инвентаря - 1,8; закупка товаров, работ, услуг в сфере информационно-коммуникационных технологий - 0,4; прочие налоги и сборы - 4,4; страховка -15,2</t>
    </r>
  </si>
  <si>
    <r>
      <t xml:space="preserve">2.Поощрение соответствующих муниципальных управленческих команд, способствовавших достижению Республикой Хакасии в 2023 году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субьектов Российской Федерации, источником финансового обеспечения которых является дотация (грант) из федерального бюджета- 189,0 (ФБ):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Заработная плата – 145,2; начисления на выплаты по оплате труда – 43,8.</t>
    </r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</si>
  <si>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- 19363,40, из них 19174,40 (МБ), 189,0 (ФБ),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</t>
    </r>
    <r>
      <rPr>
        <b/>
        <sz val="15"/>
        <rFont val="Times New Roman"/>
        <family val="1"/>
        <charset val="204"/>
      </rPr>
      <t xml:space="preserve"> - 19174,40 (МБ):  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 заработная плата – 13415,4; пособие по врем.нетрудоспособности-42,6; начисления на выплаты по оплате труда – 4052,1;  услуги связи- 165,0; работы, услуги по содержанию имущества – 68,7; прочие работы, услуги - 1133,0; увеличение стоимости материальных запасов – 129,5;Увеличение стоимости основных средств - 86,0; увеличение стоимости прочих материальных запасов однократного применения -6,5; страхование-5,1; ГСМ-68,9; налоги- 1,6..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</si>
  <si>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2. Поощрение соответствующих муниципальных управленческих команд, способствовавших достижению Республикой Хакасии в 2023 году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субьектов Российской Федераци, источником финансового обеспечения которых является дотация (грант) из федерального бюджета - 151,5 (ФБ):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Заработная плата -116,4, начисления на выплаты по оплате труда - 35,1.</t>
    </r>
  </si>
  <si>
    <r>
      <rPr>
        <b/>
        <sz val="15"/>
        <rFont val="Times New Roman"/>
        <family val="1"/>
        <charset val="204"/>
      </rPr>
      <t xml:space="preserve">1.Обеспечение развития отрасли - 26793,9 из них 151,5 (ФБ), 26642,4 (МБ):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 xml:space="preserve">26642,40 (МБ): 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1.Заработная плата -14592,28 ;                                                                                                                                                                       2.Начисления на выплаты по оплате труда - 4372,5;                                                                                                                                                                3.Услуги связи - 293,99;                                                                                                                                                                                              4.Работы, услуги по содержанию имущества -259,6;                                                                                                                                                                                5.Прочие работы, услуги - 1111,84;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  380,28;                                                                                                                                                                         7.Приобретение материальных запасов- 240,95 ;                                                                                                                                      8.Приобретение основных средств - 277,98;                                                                                                                                                                                                                                                                                                             9.Коммунальные расходы- 674,40 ;                                                                                                                                                                                      10.Командировочные расходы - 137,85 ;                                                                                                                                                                      11. Страхование - 12,57;                                                                                                                                                                 12.Налоги- 4288,16.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</si>
  <si>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4.Поощрение муниципальной управленческой команды района, способствовавшей достижению Республикой Хакасия в 2023 году значений (уровней) показателей для оценки эффективности деятельности высших и должностных лиц субъектов Российской Федерации и деятельности исполнительных органов субъектов Российской Федерации, источником финансового обеспечения которых является дотация (грант) из федерального бюджета- 95,3 (ФБ),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Заработная плата – 73,2; начисления на выплаты по оплате труда – 22,1.</t>
    </r>
  </si>
  <si>
    <r>
      <t xml:space="preserve">3.Обеспечение комплексного развития сельских территорий (строительство (приобретение) жилья, предоставляемого гражданам Российской Федерации, проживающим на сельских территориях, по договору найма жилого помещения(в том числе софинансирование с республиканским бюджетом) - 5909,2,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>1933,8 (МБ), 39,8 (РХ), 3935,6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Строительство индивидуального жилого дома в с.Усть-Бюрь, ул.Заречная 26</t>
    </r>
  </si>
  <si>
    <r>
      <t xml:space="preserve">2. Экспертиза сметной стоимости (субсидии РБ) - </t>
    </r>
    <r>
      <rPr>
        <sz val="15"/>
        <rFont val="Times New Roman"/>
        <family val="1"/>
        <charset val="204"/>
      </rPr>
      <t xml:space="preserve">352,3;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3. Дорожная разметка - </t>
    </r>
    <r>
      <rPr>
        <sz val="15"/>
        <rFont val="Times New Roman"/>
        <family val="1"/>
        <charset val="204"/>
      </rPr>
      <t xml:space="preserve">598,4;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4. Установка металлического ограждения на подходах к мосту через канал, расположенного на автомобильной дороге с. Зеленое - д. Заря, км 2+411 - </t>
    </r>
    <r>
      <rPr>
        <sz val="15"/>
        <rFont val="Times New Roman"/>
        <family val="1"/>
        <charset val="204"/>
      </rPr>
      <t xml:space="preserve">800,63;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5. Обустройство пешеходного перехода (аал Доможаков ул. Механизаторская, 46, в районе МБОУ "Доможаковская СОШ им. Н.Г. Доможакова" (детский сад) -</t>
    </r>
    <r>
      <rPr>
        <sz val="15"/>
        <rFont val="Times New Roman"/>
        <family val="1"/>
        <charset val="204"/>
      </rPr>
      <t xml:space="preserve"> 694,3;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6. Установка дорожных знаков -</t>
    </r>
    <r>
      <rPr>
        <sz val="15"/>
        <rFont val="Times New Roman"/>
        <family val="1"/>
        <charset val="204"/>
      </rPr>
      <t xml:space="preserve"> 442,0;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7. Оказание услуг по проведению экспертизы (испытание вырубок из асфальтобетонного покрытия) для подтверждения результатов выполненных работ по ремонту автомобильной дороги, расположенной по адресу: Республика Хакасия, Усть-Абаканский район, аал Чарков, ул. Степная - </t>
    </r>
    <r>
      <rPr>
        <sz val="15"/>
        <rFont val="Times New Roman"/>
        <family val="1"/>
        <charset val="204"/>
      </rPr>
      <t xml:space="preserve">12,0;    </t>
    </r>
    <r>
      <rPr>
        <b/>
        <sz val="15"/>
        <rFont val="Times New Roman"/>
        <family val="1"/>
        <charset val="204"/>
      </rPr>
      <t xml:space="preserve">               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</si>
  <si>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1.1. Строительство, реконструкция объектов муниципальной собственности, в том числе проектно-сметная документация -318,0 (МБ):   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Строительный контроль за строительством системы водоснабжения в с. Зеленое - 318,0;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1.2.Субсидии муниципальным казенным предприятиям на финансовое обеспечение затрат, связанных с погашением кредиторской задолженности - 5000,0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^Оплата кредиторской задолженности МКП "ЖКХ Усть-Абаканского района"- 5000,0;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1.3. Капитальный ремонт в муниципальных учреждениях, в том числе проектно-сметная документация - 302,0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^Капитальный ремонт металлических дымовых труб в котельных аал Доможаков.аал Чарков, с.Вершино-Биджа- 302,0;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1.4. Поддержка и развитие систем коммунального комплекса в муниципальных образованиях Республики Хакасия - 23401,7, из них 18588,3 (РХ), 4813,4 (МБ):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^Строительство системы водоснабжения в с. Зеленое  3 этап (277,5м) - 11916,9 ;                                                                                                         ^Строительный контроль при строительстве системы водоснабжения в с. Зеленое  3 этап -21,4;                                                                                                                                                                                                 ^Поставка блочно-модульной котельной с установкой в с. Солнечное - 10975,7;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к электрическим сетям при строительстве системы водоснабжения в с.Зеленое-78,7;                                                                                                                                                                                                                    ^ Устранение кренов, усиление крепления растяжек на котельных аал. Чарков, аал Доможаков, с. Вершино -Биджа-265,0;                                                                                                                                                                                                                                       ^  Проведение повторных строительно-технических экспертиз газоотводящих стволов (дымовых труб) в котельных аал. Чарков, аал Доможаков, с. Вершино-Биджа -144,0.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</si>
  <si>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2.Поощрение муниципальной управленческой команды района, способствовавшей достижению Республикой Хакасия в 2023 году значений (уровней) показателей для оценки эффективности деятельности высших и должностных лиц субъектов Российской Федерации и деятельности исполнительных органов субъектов Российской Федерации, источником финансового обеспечения которых является дотация (грант) из федерального бюджета- 136,9 (ФБ),из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Заработная плата – 105,1; начисления на выплаты по оплате труда – 31,8.</t>
    </r>
  </si>
  <si>
    <r>
      <t xml:space="preserve">Реализация проектов комплексного развития сельских территорий  - 4404,9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 xml:space="preserve">1.Формирование современного облика сельских территорий, направленных на создание и развитие инфраструктуры в сельской местности -1627,5 (МБ);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^Разработка ПСД на строительство водопровода в с.Московское -1626,3, налог земельный -1,2.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2.</t>
    </r>
    <r>
      <rPr>
        <b/>
        <i/>
        <sz val="15"/>
        <rFont val="Times New Roman"/>
        <family val="1"/>
        <charset val="204"/>
      </rPr>
      <t xml:space="preserve">Иные межбюджетные трансферты на мероприятия по формированию современного облика сельских территорий, направленных на создание и развитие инфраструктуры в сельской местности- 2777,4 (МБ)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^Разработка и экспертиза ПСД на строительство СДК в с.Московское.</t>
    </r>
  </si>
  <si>
    <r>
      <t>5.Обеспечение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-333,3 (РФ),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Ежемесячное денежное вознаграждение</t>
    </r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</si>
</sst>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  <numFmt numFmtId="170" formatCode="0.000"/>
  </numFmts>
  <fonts count="3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3" fontId="31" fillId="0" borderId="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164" fontId="32" fillId="0" borderId="9" xfId="0" applyNumberFormat="1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vertical="top"/>
    </xf>
    <xf numFmtId="0" fontId="32" fillId="0" borderId="6" xfId="0" applyFont="1" applyFill="1" applyBorder="1" applyAlignment="1">
      <alignment vertical="top" wrapText="1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left" vertical="top"/>
    </xf>
    <xf numFmtId="165" fontId="31" fillId="0" borderId="6" xfId="0" applyNumberFormat="1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9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164" fontId="31" fillId="0" borderId="23" xfId="0" applyNumberFormat="1" applyFont="1" applyFill="1" applyBorder="1" applyAlignment="1">
      <alignment horizontal="right" vertical="top" shrinkToFi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/>
    </xf>
    <xf numFmtId="164" fontId="32" fillId="0" borderId="0" xfId="0" applyNumberFormat="1" applyFont="1" applyFill="1" applyBorder="1" applyAlignment="1">
      <alignment horizontal="left" vertical="top" shrinkToFit="1"/>
    </xf>
    <xf numFmtId="49" fontId="31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Alignment="1">
      <alignment horizontal="left" vertical="top"/>
    </xf>
    <xf numFmtId="0" fontId="33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center"/>
    </xf>
    <xf numFmtId="165" fontId="32" fillId="0" borderId="5" xfId="0" applyNumberFormat="1" applyFont="1" applyFill="1" applyBorder="1" applyAlignment="1">
      <alignment horizontal="center" vertical="top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11" xfId="0" applyNumberFormat="1" applyFont="1" applyFill="1" applyBorder="1" applyAlignment="1">
      <alignment horizontal="center" vertical="center"/>
    </xf>
    <xf numFmtId="168" fontId="31" fillId="0" borderId="7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 wrapText="1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164" fontId="32" fillId="0" borderId="0" xfId="0" applyNumberFormat="1" applyFont="1" applyFill="1" applyBorder="1" applyAlignment="1">
      <alignment horizontal="right" shrinkToFi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left" vertical="top"/>
    </xf>
    <xf numFmtId="0" fontId="31" fillId="0" borderId="0" xfId="0" applyNumberFormat="1" applyFont="1" applyFill="1" applyBorder="1"/>
    <xf numFmtId="4" fontId="31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vertical="center"/>
    </xf>
    <xf numFmtId="165" fontId="31" fillId="0" borderId="9" xfId="0" applyNumberFormat="1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167" fontId="31" fillId="0" borderId="4" xfId="0" applyNumberFormat="1" applyFont="1" applyFill="1" applyBorder="1" applyAlignment="1">
      <alignment horizontal="center" vertical="top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164" fontId="32" fillId="0" borderId="5" xfId="0" applyNumberFormat="1" applyFont="1" applyFill="1" applyBorder="1" applyAlignment="1">
      <alignment horizontal="right" vertical="top" shrinkToFit="1"/>
    </xf>
    <xf numFmtId="0" fontId="33" fillId="0" borderId="8" xfId="0" applyNumberFormat="1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4" fontId="32" fillId="0" borderId="5" xfId="0" applyNumberFormat="1" applyFont="1" applyFill="1" applyBorder="1" applyAlignment="1">
      <alignment horizontal="right" vertical="top" shrinkToFit="1"/>
    </xf>
    <xf numFmtId="0" fontId="31" fillId="0" borderId="8" xfId="0" applyFont="1" applyFill="1" applyBorder="1" applyAlignment="1">
      <alignment horizontal="left" vertical="top" wrapText="1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4" fontId="32" fillId="0" borderId="8" xfId="0" applyNumberFormat="1" applyFont="1" applyFill="1" applyBorder="1" applyAlignment="1">
      <alignment horizontal="right" vertical="top" shrinkToFit="1"/>
    </xf>
    <xf numFmtId="2" fontId="31" fillId="0" borderId="1" xfId="0" applyNumberFormat="1" applyFont="1" applyFill="1" applyBorder="1" applyAlignment="1">
      <alignment horizontal="left" vertical="center"/>
    </xf>
    <xf numFmtId="4" fontId="31" fillId="0" borderId="1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left" vertical="center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0" xfId="0" applyFont="1" applyFill="1" applyAlignment="1"/>
    <xf numFmtId="0" fontId="32" fillId="0" borderId="5" xfId="0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0" fontId="31" fillId="0" borderId="21" xfId="0" applyFont="1" applyFill="1" applyBorder="1" applyAlignment="1">
      <alignment horizontal="left" vertical="top"/>
    </xf>
    <xf numFmtId="4" fontId="32" fillId="0" borderId="0" xfId="0" applyNumberFormat="1" applyFont="1" applyFill="1" applyBorder="1" applyAlignment="1">
      <alignment horizontal="center" vertical="center"/>
    </xf>
    <xf numFmtId="167" fontId="31" fillId="0" borderId="12" xfId="0" applyNumberFormat="1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vertical="top" shrinkToFi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0" xfId="0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1" fillId="0" borderId="6" xfId="0" applyNumberFormat="1" applyFont="1" applyFill="1" applyBorder="1" applyAlignment="1">
      <alignment vertical="top" shrinkToFit="1"/>
    </xf>
    <xf numFmtId="0" fontId="0" fillId="0" borderId="0" xfId="0" applyFill="1" applyBorder="1"/>
    <xf numFmtId="170" fontId="0" fillId="0" borderId="0" xfId="0" applyNumberFormat="1" applyFill="1" applyBorder="1"/>
    <xf numFmtId="0" fontId="0" fillId="0" borderId="0" xfId="0" applyFill="1"/>
    <xf numFmtId="2" fontId="0" fillId="3" borderId="0" xfId="0" applyNumberFormat="1" applyFill="1" applyBorder="1"/>
    <xf numFmtId="0" fontId="0" fillId="3" borderId="0" xfId="0" applyFill="1" applyBorder="1"/>
    <xf numFmtId="164" fontId="32" fillId="0" borderId="7" xfId="0" applyNumberFormat="1" applyFont="1" applyFill="1" applyBorder="1" applyAlignment="1">
      <alignment horizontal="right" vertical="top" shrinkToFit="1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vertical="top" wrapText="1"/>
    </xf>
    <xf numFmtId="0" fontId="33" fillId="0" borderId="8" xfId="0" applyNumberFormat="1" applyFont="1" applyFill="1" applyBorder="1" applyAlignment="1">
      <alignment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0" fontId="36" fillId="0" borderId="8" xfId="0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5" fontId="32" fillId="0" borderId="21" xfId="0" applyNumberFormat="1" applyFont="1" applyFill="1" applyBorder="1" applyAlignment="1">
      <alignment vertical="top" wrapText="1"/>
    </xf>
    <xf numFmtId="164" fontId="31" fillId="0" borderId="12" xfId="0" applyNumberFormat="1" applyFont="1" applyFill="1" applyBorder="1" applyAlignment="1">
      <alignment horizontal="right" vertical="top" shrinkToFit="1"/>
    </xf>
    <xf numFmtId="164" fontId="31" fillId="0" borderId="1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vertical="top" wrapText="1"/>
    </xf>
    <xf numFmtId="165" fontId="31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horizontal="left" vertical="top" wrapText="1"/>
    </xf>
    <xf numFmtId="165" fontId="31" fillId="0" borderId="6" xfId="0" applyNumberFormat="1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5" fontId="31" fillId="0" borderId="5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vertical="top" shrinkToFit="1"/>
    </xf>
    <xf numFmtId="164" fontId="31" fillId="0" borderId="6" xfId="0" applyNumberFormat="1" applyFont="1" applyFill="1" applyBorder="1" applyAlignment="1">
      <alignment vertical="top" shrinkToFit="1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4" fontId="32" fillId="0" borderId="6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167" fontId="31" fillId="0" borderId="12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center"/>
    </xf>
    <xf numFmtId="164" fontId="32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6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49" fontId="31" fillId="0" borderId="5" xfId="0" applyNumberFormat="1" applyFont="1" applyFill="1" applyBorder="1" applyAlignment="1">
      <alignment horizontal="center" vertical="top" wrapText="1"/>
    </xf>
    <xf numFmtId="49" fontId="31" fillId="0" borderId="6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4" fontId="32" fillId="0" borderId="7" xfId="0" applyNumberFormat="1" applyFont="1" applyFill="1" applyBorder="1" applyAlignment="1">
      <alignment horizontal="center" vertical="top"/>
    </xf>
    <xf numFmtId="4" fontId="31" fillId="0" borderId="9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33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28" t="s">
        <v>92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</row>
    <row r="2" spans="1:17" ht="34.5" customHeight="1">
      <c r="A2" s="628" t="s">
        <v>106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29" t="s">
        <v>17</v>
      </c>
      <c r="B4" s="629" t="s">
        <v>18</v>
      </c>
      <c r="C4" s="631" t="s">
        <v>19</v>
      </c>
      <c r="D4" s="632"/>
      <c r="E4" s="632"/>
      <c r="F4" s="633"/>
      <c r="G4" s="631" t="s">
        <v>0</v>
      </c>
      <c r="H4" s="632"/>
      <c r="I4" s="632"/>
      <c r="J4" s="633"/>
      <c r="K4" s="634" t="s">
        <v>86</v>
      </c>
      <c r="L4" s="629" t="s">
        <v>20</v>
      </c>
      <c r="M4" s="5" t="s">
        <v>88</v>
      </c>
      <c r="P4" s="72"/>
    </row>
    <row r="5" spans="1:17" s="5" customFormat="1" ht="28.5" customHeight="1">
      <c r="A5" s="630"/>
      <c r="B5" s="630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35"/>
      <c r="L5" s="630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626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626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626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626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42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42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626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626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626"/>
    </row>
    <row r="81" spans="1:16" ht="322.5" customHeight="1">
      <c r="A81" s="21" t="s">
        <v>31</v>
      </c>
      <c r="B81" s="645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46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46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46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46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46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46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46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36"/>
      <c r="C90" s="638"/>
      <c r="D90" s="638"/>
      <c r="E90" s="640"/>
      <c r="F90" s="638"/>
      <c r="G90" s="638"/>
      <c r="H90" s="638"/>
      <c r="I90" s="638"/>
      <c r="J90" s="638"/>
      <c r="K90" s="655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37"/>
      <c r="C91" s="639"/>
      <c r="D91" s="639"/>
      <c r="E91" s="641"/>
      <c r="F91" s="639"/>
      <c r="G91" s="639"/>
      <c r="H91" s="639"/>
      <c r="I91" s="639"/>
      <c r="J91" s="639"/>
      <c r="K91" s="656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51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52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43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44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44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44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47" t="s">
        <v>49</v>
      </c>
      <c r="B131" s="649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48"/>
      <c r="B132" s="650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53" t="s">
        <v>54</v>
      </c>
      <c r="B141" s="654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27" t="s">
        <v>110</v>
      </c>
      <c r="B153" s="627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57" t="s">
        <v>92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</row>
    <row r="2" spans="1:26" ht="34.5" customHeight="1">
      <c r="A2" s="657" t="s">
        <v>222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58" t="s">
        <v>17</v>
      </c>
      <c r="B4" s="658" t="s">
        <v>18</v>
      </c>
      <c r="C4" s="660" t="s">
        <v>19</v>
      </c>
      <c r="D4" s="661"/>
      <c r="E4" s="661"/>
      <c r="F4" s="662"/>
      <c r="G4" s="660" t="s">
        <v>0</v>
      </c>
      <c r="H4" s="661"/>
      <c r="I4" s="661"/>
      <c r="J4" s="662"/>
      <c r="K4" s="663" t="s">
        <v>211</v>
      </c>
      <c r="L4" s="658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59"/>
      <c r="B5" s="659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64"/>
      <c r="L5" s="659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65">
        <f>M7+M9+M10+M11+M12+M13+M14+M16</f>
        <v>21214.799999999999</v>
      </c>
      <c r="O7" s="668">
        <f>124+19.3+165.3+19.3+120.9+200+182.6+220+220+183.4+183.4+120.9+111.8+742.3+800+27.9+200+183.4+3.1+20</f>
        <v>3847.6000000000004</v>
      </c>
      <c r="P7" s="670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66"/>
      <c r="O8" s="669"/>
      <c r="P8" s="671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66"/>
      <c r="O9" s="340">
        <f>35.7+815.5</f>
        <v>851.2</v>
      </c>
      <c r="P9" s="671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66"/>
      <c r="O10" s="273">
        <f>94.7+3173.5</f>
        <v>3268.2</v>
      </c>
      <c r="P10" s="672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66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66"/>
      <c r="O12" s="353">
        <f>6546.3+109.7+128.5+2033.7+114.6+64.6+126.8+3.2+4.5+247.1+1426.6+11.9+5.1</f>
        <v>10822.600000000002</v>
      </c>
      <c r="P12" s="670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66"/>
      <c r="O13" s="340">
        <v>195</v>
      </c>
      <c r="P13" s="671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66"/>
      <c r="O14" s="273">
        <f>732.3+221.2+2863.1+125+4.1+112.5+131.3+5.5+0.2</f>
        <v>4195.2</v>
      </c>
      <c r="P14" s="672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66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67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73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66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66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66"/>
      <c r="O22" s="674">
        <f>106+199.1+122.1+138.32+22.75+23.44+112.27+168.57+130+55+37.9+8+13+7.8+4+122.4+53.84+40+2510.2+165.44+80.98+35+154.2+13.6+12.3+597.85+1133.3+1410.6+5+5+52.45+167.91+24.24+21.73+50.2+96.6</f>
        <v>7901.09</v>
      </c>
      <c r="P22" s="675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66"/>
      <c r="O23" s="674"/>
      <c r="P23" s="675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66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66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66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66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66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66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66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66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66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76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66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76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66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76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66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66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66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66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66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66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66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66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66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66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66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66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66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66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65">
        <f>M58+M59+M60+M63+M64+M62</f>
        <v>49262</v>
      </c>
      <c r="O58" s="287">
        <f>14839.58+52.96+259.32+193.83+81.02+7.84+95.59</f>
        <v>15530.14</v>
      </c>
      <c r="P58" s="677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66"/>
      <c r="O59" s="340">
        <f>15408+17.92+680.29+87.94+149.57+0.6+389.53+22.15+1125.9</f>
        <v>17881.900000000001</v>
      </c>
      <c r="P59" s="678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66"/>
      <c r="O60" s="340">
        <f>28474.84+27.26+880.59+337.67+770.05+128.51+912.06+793.87+1837.17</f>
        <v>34162.019999999997</v>
      </c>
      <c r="P60" s="678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66"/>
      <c r="O61" s="340"/>
      <c r="P61" s="678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66"/>
      <c r="O62" s="340">
        <f>566.2+8.5+50+2.5</f>
        <v>627.20000000000005</v>
      </c>
      <c r="P62" s="678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66"/>
      <c r="O63" s="340">
        <f>81.19+45+214.35</f>
        <v>340.53999999999996</v>
      </c>
      <c r="P63" s="678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67"/>
      <c r="O64" s="273">
        <f>6597.4+6.5+5.4+188.6+54.9</f>
        <v>6852.7999999999993</v>
      </c>
      <c r="P64" s="679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80" t="s">
        <v>28</v>
      </c>
      <c r="B68" s="645" t="s">
        <v>83</v>
      </c>
      <c r="C68" s="683">
        <v>5742.7</v>
      </c>
      <c r="D68" s="683">
        <v>387.3</v>
      </c>
      <c r="E68" s="685"/>
      <c r="F68" s="687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89">
        <f>O68+O69</f>
        <v>5850.7999999999993</v>
      </c>
      <c r="Q68" s="670">
        <f>J68-P68</f>
        <v>0</v>
      </c>
    </row>
    <row r="69" spans="1:17" s="244" customFormat="1" ht="126.75" customHeight="1">
      <c r="A69" s="681"/>
      <c r="B69" s="682"/>
      <c r="C69" s="684"/>
      <c r="D69" s="684"/>
      <c r="E69" s="686"/>
      <c r="F69" s="688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90"/>
      <c r="Q69" s="691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65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92">
        <f>1.5+27.08+10+35.78+384.4+34.9+8.1+9.84+4.31+150+4+7+3+6.65+6.96+37.52+4.42+9.9+17.92+3+10.45+25+10.39</f>
        <v>812.11999999999989</v>
      </c>
      <c r="N72" s="666"/>
      <c r="O72" s="692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92"/>
      <c r="N73" s="666"/>
      <c r="O73" s="692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93" t="s">
        <v>321</v>
      </c>
      <c r="M74" s="692">
        <f>1.5+19+4.75+9.74+9.94+3.6+43.83+180.03+138+45.67+129.1+15.81+16.84+6+11.3+10.56+10.39+7.28+73.51+2.5+5+751.26+2.85+70.25+142.64+30.53</f>
        <v>1741.8799999999994</v>
      </c>
      <c r="N74" s="666"/>
      <c r="O74" s="692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93"/>
      <c r="M75" s="692"/>
      <c r="N75" s="666"/>
      <c r="O75" s="692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66"/>
      <c r="O76" s="692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66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67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94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95"/>
      <c r="O83" s="669">
        <f>26.5+31.34+50+9.37+30+524.58+0.83+234.4+7.3+91.5+93.9+77.8+4.08+4.59+200+39.99+35.96+14.71+11.97+43.54+144.38+108.2+34.1+61.8+37.03+1012.8+11.93+72.8</f>
        <v>3015.3999999999996</v>
      </c>
      <c r="P83" s="675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95"/>
      <c r="O84" s="669"/>
      <c r="P84" s="675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95"/>
      <c r="O85" s="252">
        <v>217.8</v>
      </c>
      <c r="P85" s="675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95"/>
      <c r="O86" s="252">
        <f>951.1+19.4</f>
        <v>970.5</v>
      </c>
      <c r="P86" s="675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95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95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95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92">
        <f>3.46+13+2.4+20+4.5+11+50+5.1+10.5+2.1+500+220+32.66+8.85+25+2+22+22+5.4+24.6+8.4+17.03+27.61+1299.96+4.9+23.2+8+5.21+10.6+9.25+50.6</f>
        <v>2449.3299999999995</v>
      </c>
      <c r="N90" s="695"/>
      <c r="O90" s="252">
        <f>3.5+13+2.4+20+4.5+11+50+5.1+10.5+2.1+500+220+32.66+8.85+25+2+22+22+5.4</f>
        <v>960.01</v>
      </c>
      <c r="P90" s="675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92"/>
      <c r="N91" s="695"/>
      <c r="O91" s="692">
        <f>24.6+8.4+17.03+27.61+1299.96+4.9+23.2+8+5.21+10.6+9.25+119.42+9+14+50.25+264+258.32+9+6+5+19.3+3.44+1.5+2.5+2.56+0.04</f>
        <v>2203.0900000000006</v>
      </c>
      <c r="P91" s="675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95"/>
      <c r="O92" s="692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95"/>
      <c r="O93" s="692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96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94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69">
        <f>10+15.25+20+7+113.65+24.6+7+6.1+30+3+7.2+6.1+11.19+3+6+15+3+7.72+15+5.6+96+33.16+109+4.23+10</f>
        <v>568.80000000000007</v>
      </c>
      <c r="N98" s="695"/>
      <c r="O98" s="252">
        <f>10+15.25+20+7+113.65+24.6+4.26+10+14.98+38.75+30+93.97+35+102.66+10.02</f>
        <v>530.14</v>
      </c>
      <c r="P98" s="675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69"/>
      <c r="N99" s="695"/>
      <c r="O99" s="252">
        <f>7+6.1+30+3+7.2+6.1+11.2+3+6+15+3+7.72+15+5.6+96+22.72+109</f>
        <v>353.64</v>
      </c>
      <c r="P99" s="675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69"/>
      <c r="N100" s="695"/>
      <c r="O100" s="252">
        <f>40+10.6+26.04+4.6+13.11+76.6+14.97</f>
        <v>185.92</v>
      </c>
      <c r="P100" s="675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96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94">
        <f>M102+M103</f>
        <v>22512.099999999995</v>
      </c>
      <c r="O102" s="353">
        <f>5157.87+1604.54+9.38+21.84+9.6+410.07+8+1+3.5</f>
        <v>7225.8</v>
      </c>
      <c r="P102" s="670">
        <f>O102+O103</f>
        <v>30588.499999999996</v>
      </c>
      <c r="Q102" s="675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96"/>
      <c r="O103" s="273">
        <f>17006.24+5317.12+77.8+133.57+383.72+8.42+297.1+5.76+5.5+44.43+83.04</f>
        <v>23362.699999999997</v>
      </c>
      <c r="P103" s="672"/>
      <c r="Q103" s="675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701">
        <f>M104+M105</f>
        <v>1616.3999999999999</v>
      </c>
      <c r="O104" s="353">
        <f>1272.52+364.08+20.32+2.4+18.63+6.2+35.5+244.75+139</f>
        <v>2103.4</v>
      </c>
      <c r="P104" s="670">
        <f>O104+O105</f>
        <v>2641.4</v>
      </c>
      <c r="Q104" s="675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702"/>
      <c r="O105" s="333">
        <f>14+2.4+55+38.74+28.8+11.2+50+31.8+37+21+1+89.44+9.8+58.5+25.64+29.67+19+6.6+8.4+0.01</f>
        <v>538</v>
      </c>
      <c r="P105" s="672"/>
      <c r="Q105" s="703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94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95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95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95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95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95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95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95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95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95"/>
      <c r="O115" s="252">
        <f>12+4.56+14.5+30+25.35+9.45+21.76+12.97+8.16+10.29+4.14+8.5+4.05+12.15+6.4</f>
        <v>184.28</v>
      </c>
      <c r="P115" s="676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95"/>
      <c r="O116" s="252"/>
      <c r="P116" s="676"/>
      <c r="Q116" s="343"/>
    </row>
    <row r="117" spans="1:17" s="244" customFormat="1" ht="361.5" customHeight="1">
      <c r="A117" s="221"/>
      <c r="B117" s="636"/>
      <c r="C117" s="697"/>
      <c r="D117" s="697"/>
      <c r="E117" s="699"/>
      <c r="F117" s="697"/>
      <c r="G117" s="697"/>
      <c r="H117" s="697"/>
      <c r="I117" s="697"/>
      <c r="J117" s="697"/>
      <c r="K117" s="704"/>
      <c r="L117" s="12" t="s">
        <v>256</v>
      </c>
      <c r="M117" s="340">
        <f>7.68+5.67+10.2+8.1+4.8+2.56+4+6.35+7.06+3.7+1.5+1.24+5.9+28.89+2.53+4+20.5+26.64</f>
        <v>151.32</v>
      </c>
      <c r="N117" s="695"/>
      <c r="O117" s="252">
        <f>5.67+10.2+8.1+4.8+2.56+4+6.35+7.06+3.7+1.5+1.24+5.9+42.03+2.53+4+20.47+580+7.68</f>
        <v>717.79</v>
      </c>
      <c r="P117" s="676"/>
      <c r="Q117" s="343"/>
    </row>
    <row r="118" spans="1:17" s="244" customFormat="1" ht="221.25" customHeight="1">
      <c r="A118" s="221"/>
      <c r="B118" s="636"/>
      <c r="C118" s="697"/>
      <c r="D118" s="697"/>
      <c r="E118" s="699"/>
      <c r="F118" s="697"/>
      <c r="G118" s="697"/>
      <c r="H118" s="697"/>
      <c r="I118" s="697"/>
      <c r="J118" s="697"/>
      <c r="K118" s="704"/>
      <c r="L118" s="12" t="s">
        <v>257</v>
      </c>
      <c r="M118" s="340"/>
      <c r="N118" s="695"/>
      <c r="O118" s="252">
        <f>6+12.84+20.31+49.84+2.46+3.2+3.6+4.9+7.28+6.02+5.7</f>
        <v>122.15</v>
      </c>
      <c r="P118" s="676"/>
      <c r="Q118" s="343"/>
    </row>
    <row r="119" spans="1:17" s="244" customFormat="1" ht="112.5" customHeight="1">
      <c r="A119" s="222"/>
      <c r="B119" s="637"/>
      <c r="C119" s="698"/>
      <c r="D119" s="698"/>
      <c r="E119" s="700"/>
      <c r="F119" s="698"/>
      <c r="G119" s="698"/>
      <c r="H119" s="698"/>
      <c r="I119" s="698"/>
      <c r="J119" s="698"/>
      <c r="K119" s="705"/>
      <c r="L119" s="148" t="s">
        <v>311</v>
      </c>
      <c r="M119" s="273">
        <f>41803.2+1061.3+771.3</f>
        <v>43635.8</v>
      </c>
      <c r="N119" s="696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65">
        <f>M121+M122</f>
        <v>9880.9</v>
      </c>
      <c r="O121" s="353">
        <f>8011.2+72.5+49+100+649</f>
        <v>8881.7000000000007</v>
      </c>
      <c r="P121" s="689">
        <f>O121+O122</f>
        <v>13505.400000000001</v>
      </c>
      <c r="Q121" s="670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67"/>
      <c r="O122" s="273">
        <v>4623.7</v>
      </c>
      <c r="P122" s="690"/>
      <c r="Q122" s="672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65">
        <f>M123+M124+M125</f>
        <v>85771.5</v>
      </c>
      <c r="O123" s="353">
        <f>11180+36585.3</f>
        <v>47765.3</v>
      </c>
      <c r="P123" s="689">
        <f>O123+O124+O125</f>
        <v>106370.3</v>
      </c>
      <c r="Q123" s="670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66"/>
      <c r="O124" s="340">
        <f>8193.7+205.3+50.2+61.1+103.7+1625.1+171.5+66.4</f>
        <v>10477.000000000002</v>
      </c>
      <c r="P124" s="675"/>
      <c r="Q124" s="710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67"/>
      <c r="O125" s="273">
        <f>29396.3+18731.7</f>
        <v>48128</v>
      </c>
      <c r="P125" s="690"/>
      <c r="Q125" s="691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89">
        <f>O126+O127+O128+O129+O130</f>
        <v>6337.7</v>
      </c>
      <c r="Q126" s="670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75"/>
      <c r="Q127" s="710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75"/>
      <c r="Q128" s="710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75"/>
      <c r="Q129" s="710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90"/>
      <c r="Q130" s="691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711">
        <f>M131+M132+M133+M136</f>
        <v>16259.9</v>
      </c>
      <c r="O131" s="353">
        <f>12780.61+3958.34+234.22+467.32+648.72+951.4+279.52+343.37+22.61+460.92+186.03+40.82+1852.62+560.45</f>
        <v>22786.95</v>
      </c>
      <c r="P131" s="689">
        <f>O131+O132+O133+O134+O135+O136</f>
        <v>27218</v>
      </c>
      <c r="Q131" s="670">
        <f>J131-P131</f>
        <v>9.9999999998544808E-2</v>
      </c>
      <c r="R131" s="716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712"/>
      <c r="O132" s="340">
        <v>141.5</v>
      </c>
      <c r="P132" s="675"/>
      <c r="Q132" s="710"/>
      <c r="R132" s="717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712"/>
      <c r="O133" s="340">
        <f>545+50</f>
        <v>595</v>
      </c>
      <c r="P133" s="675"/>
      <c r="Q133" s="710"/>
      <c r="R133" s="717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712"/>
      <c r="O134" s="340">
        <v>1761.89</v>
      </c>
      <c r="P134" s="675"/>
      <c r="Q134" s="710"/>
      <c r="R134" s="717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712"/>
      <c r="O135" s="340">
        <f>700+14.76+300+150+150+330</f>
        <v>1644.76</v>
      </c>
      <c r="P135" s="675"/>
      <c r="Q135" s="710"/>
      <c r="R135" s="717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713"/>
      <c r="O136" s="273">
        <f>264.1+23.8</f>
        <v>287.90000000000003</v>
      </c>
      <c r="P136" s="690"/>
      <c r="Q136" s="691"/>
      <c r="R136" s="717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70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71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72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65">
        <f>M148+M149+M150+M151+M152+M153+M160</f>
        <v>27789.9</v>
      </c>
      <c r="O148" s="353">
        <f>48.83+276.74+58.04+65.92+50.83+116.02</f>
        <v>616.38</v>
      </c>
      <c r="P148" s="707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66"/>
      <c r="O149" s="340">
        <v>23.4</v>
      </c>
      <c r="P149" s="708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66"/>
      <c r="O150" s="340">
        <f>2000+1796.26+1253.8+0.48+2735.78+1042.85</f>
        <v>8829.17</v>
      </c>
      <c r="P150" s="708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66"/>
      <c r="O151" s="340">
        <f>606.2+195.36+439.69+842.82</f>
        <v>2084.0700000000002</v>
      </c>
      <c r="P151" s="708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66"/>
      <c r="O152" s="340">
        <f>4843.8+7957.8+2775.1+293.8+2100.7+1110.1</f>
        <v>19081.3</v>
      </c>
      <c r="P152" s="708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66"/>
      <c r="O153" s="340">
        <f>99+162.4+56.6+6+42.9+22.6</f>
        <v>389.5</v>
      </c>
      <c r="P153" s="708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66"/>
      <c r="O154" s="273">
        <f>7500+599+517.27+459.09+178.62</f>
        <v>9253.9800000000014</v>
      </c>
      <c r="P154" s="709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66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66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66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66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66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67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94">
        <f>M161+M162+M163+M164+M165+M166+M168+M167</f>
        <v>118895.3</v>
      </c>
      <c r="O161" s="353">
        <f>13433.31+4025.84+30.99+1+158.38+4.1+47.7+79.6+863.32+445.06+90.4+7.2+1.6</f>
        <v>19188.500000000004</v>
      </c>
      <c r="P161" s="677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95"/>
      <c r="O162" s="340">
        <v>122359</v>
      </c>
      <c r="P162" s="678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95"/>
      <c r="O163" s="340">
        <f>7210.49+47.44+181.17+2245.87+84.4+73.36+165.58+62.59+130.35+55.28+5.29+0.88</f>
        <v>10262.700000000001</v>
      </c>
      <c r="P163" s="678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95"/>
      <c r="O164" s="669">
        <f>720.5+771+15</f>
        <v>1506.5</v>
      </c>
      <c r="P164" s="678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69"/>
      <c r="P165" s="678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69"/>
      <c r="P166" s="678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78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79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719" t="s">
        <v>49</v>
      </c>
      <c r="B170" s="645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83">
        <v>3105.1</v>
      </c>
      <c r="H170" s="683">
        <v>648.6</v>
      </c>
      <c r="I170" s="721"/>
      <c r="J170" s="683">
        <f>I170+H170+G170</f>
        <v>3753.7</v>
      </c>
      <c r="K170" s="722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94">
        <f>M170+M171</f>
        <v>2234.1999999999998</v>
      </c>
      <c r="O170" s="353">
        <f>1646.51+367.26+184.4+205.2+610.8+0.4+10.17+2.16+1.5+5.4+71.3</f>
        <v>3105.1000000000004</v>
      </c>
      <c r="P170" s="670">
        <f>O170+O171</f>
        <v>3753.7000000000003</v>
      </c>
      <c r="Q170" s="706">
        <f>J170-P170</f>
        <v>0</v>
      </c>
    </row>
    <row r="171" spans="1:18" s="244" customFormat="1" ht="42" customHeight="1">
      <c r="A171" s="720"/>
      <c r="B171" s="682"/>
      <c r="C171" s="366"/>
      <c r="D171" s="366"/>
      <c r="E171" s="366"/>
      <c r="F171" s="366"/>
      <c r="G171" s="684"/>
      <c r="H171" s="684"/>
      <c r="I171" s="698"/>
      <c r="J171" s="684"/>
      <c r="K171" s="705"/>
      <c r="L171" s="378" t="s">
        <v>344</v>
      </c>
      <c r="M171" s="273">
        <v>471.9</v>
      </c>
      <c r="N171" s="696"/>
      <c r="O171" s="273">
        <v>648.6</v>
      </c>
      <c r="P171" s="672"/>
      <c r="Q171" s="706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70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71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71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72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714" t="s">
        <v>54</v>
      </c>
      <c r="B181" s="715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718" t="s">
        <v>110</v>
      </c>
      <c r="B197" s="718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83"/>
  <sheetViews>
    <sheetView tabSelected="1" view="pageBreakPreview" zoomScale="60" zoomScaleNormal="60" workbookViewId="0">
      <pane ySplit="5" topLeftCell="A159" activePane="bottomLeft" state="frozen"/>
      <selection pane="bottomLeft" activeCell="E66" sqref="E66"/>
    </sheetView>
  </sheetViews>
  <sheetFormatPr defaultColWidth="9.140625" defaultRowHeight="19.5"/>
  <cols>
    <col min="1" max="1" width="7.5703125" style="392" customWidth="1"/>
    <col min="2" max="2" width="36.710937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20.85546875" style="500" customWidth="1"/>
    <col min="12" max="12" width="142.7109375" style="392" customWidth="1"/>
    <col min="13" max="13" width="17.140625" style="389" hidden="1" customWidth="1"/>
    <col min="14" max="14" width="18.7109375" style="390" hidden="1" customWidth="1"/>
    <col min="15" max="15" width="27.28515625" style="389" customWidth="1"/>
    <col min="16" max="16" width="29.7109375" style="571" customWidth="1"/>
    <col min="17" max="17" width="30.28515625" style="573" customWidth="1"/>
    <col min="18" max="18" width="29.5703125" style="39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57" t="s">
        <v>92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</row>
    <row r="2" spans="1:26" ht="34.5" customHeight="1">
      <c r="A2" s="657" t="s">
        <v>368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R2" s="393"/>
    </row>
    <row r="3" spans="1:26" ht="20.25" customHeight="1">
      <c r="A3" s="394"/>
      <c r="B3" s="394"/>
      <c r="K3" s="397"/>
      <c r="L3" s="398" t="s">
        <v>16</v>
      </c>
      <c r="R3" s="393"/>
      <c r="S3" s="393"/>
      <c r="T3" s="393"/>
    </row>
    <row r="4" spans="1:26" s="405" customFormat="1" ht="30" customHeight="1">
      <c r="A4" s="731" t="s">
        <v>17</v>
      </c>
      <c r="B4" s="731" t="s">
        <v>18</v>
      </c>
      <c r="C4" s="733" t="s">
        <v>19</v>
      </c>
      <c r="D4" s="734"/>
      <c r="E4" s="734"/>
      <c r="F4" s="735"/>
      <c r="G4" s="733" t="s">
        <v>0</v>
      </c>
      <c r="H4" s="734"/>
      <c r="I4" s="734"/>
      <c r="J4" s="735"/>
      <c r="K4" s="736" t="s">
        <v>355</v>
      </c>
      <c r="L4" s="731" t="s">
        <v>20</v>
      </c>
      <c r="M4" s="399"/>
      <c r="N4" s="400"/>
      <c r="O4" s="399"/>
      <c r="P4" s="401"/>
      <c r="Q4" s="402"/>
      <c r="R4" s="403"/>
      <c r="S4" s="403"/>
      <c r="T4" s="404"/>
      <c r="U4" s="404"/>
      <c r="V4" s="404"/>
      <c r="W4" s="404"/>
      <c r="X4" s="404"/>
      <c r="Y4" s="404"/>
      <c r="Z4" s="404"/>
    </row>
    <row r="5" spans="1:26" s="405" customFormat="1" ht="28.5" customHeight="1">
      <c r="A5" s="732"/>
      <c r="B5" s="732"/>
      <c r="C5" s="406" t="s">
        <v>21</v>
      </c>
      <c r="D5" s="406" t="s">
        <v>22</v>
      </c>
      <c r="E5" s="406" t="s">
        <v>23</v>
      </c>
      <c r="F5" s="406" t="s">
        <v>24</v>
      </c>
      <c r="G5" s="406" t="s">
        <v>21</v>
      </c>
      <c r="H5" s="406" t="s">
        <v>22</v>
      </c>
      <c r="I5" s="406" t="s">
        <v>23</v>
      </c>
      <c r="J5" s="406" t="s">
        <v>24</v>
      </c>
      <c r="K5" s="737"/>
      <c r="L5" s="732"/>
      <c r="M5" s="399"/>
      <c r="N5" s="400"/>
      <c r="O5" s="399"/>
      <c r="P5" s="401"/>
      <c r="Q5" s="402"/>
      <c r="R5" s="404"/>
      <c r="S5" s="403"/>
      <c r="T5" s="404"/>
      <c r="U5" s="404"/>
      <c r="V5" s="404"/>
      <c r="W5" s="404"/>
      <c r="X5" s="404"/>
      <c r="Y5" s="404"/>
      <c r="Z5" s="404"/>
    </row>
    <row r="6" spans="1:26" s="414" customFormat="1" ht="18.75" customHeight="1">
      <c r="A6" s="407">
        <v>1</v>
      </c>
      <c r="B6" s="408">
        <v>2</v>
      </c>
      <c r="C6" s="409">
        <v>3</v>
      </c>
      <c r="D6" s="409">
        <v>4</v>
      </c>
      <c r="E6" s="409">
        <v>5</v>
      </c>
      <c r="F6" s="409">
        <v>6</v>
      </c>
      <c r="G6" s="409">
        <v>7</v>
      </c>
      <c r="H6" s="409">
        <v>8</v>
      </c>
      <c r="I6" s="409">
        <v>9</v>
      </c>
      <c r="J6" s="409">
        <v>10</v>
      </c>
      <c r="K6" s="410">
        <v>11</v>
      </c>
      <c r="L6" s="408">
        <v>12</v>
      </c>
      <c r="M6" s="411"/>
      <c r="N6" s="412"/>
      <c r="O6" s="411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</row>
    <row r="7" spans="1:26" ht="117" customHeight="1">
      <c r="A7" s="512" t="s">
        <v>25</v>
      </c>
      <c r="B7" s="510" t="s">
        <v>90</v>
      </c>
      <c r="C7" s="591">
        <v>39764.6</v>
      </c>
      <c r="D7" s="547">
        <v>8455</v>
      </c>
      <c r="E7" s="614">
        <v>4237.1000000000004</v>
      </c>
      <c r="F7" s="547">
        <f>E7+D7+C7</f>
        <v>52456.7</v>
      </c>
      <c r="G7" s="547">
        <v>33666.400000000001</v>
      </c>
      <c r="H7" s="547">
        <v>6970</v>
      </c>
      <c r="I7" s="547">
        <v>4237.1000000000004</v>
      </c>
      <c r="J7" s="547">
        <f>G7+H7+I7</f>
        <v>44873.5</v>
      </c>
      <c r="K7" s="574">
        <f>J7/F7*100</f>
        <v>85.543886672245876</v>
      </c>
      <c r="L7" s="388" t="s">
        <v>388</v>
      </c>
      <c r="M7" s="511">
        <f>124+19.3+165.3+19.3+120.9+200+182.6+220+220+183.4+183.4+120.9+111.8+2.3</f>
        <v>1873.2000000000003</v>
      </c>
      <c r="N7" s="740" t="e">
        <f>M7+#REF!+M8+M10+M12+M13+M14+M16</f>
        <v>#REF!</v>
      </c>
      <c r="O7" s="511">
        <f>2.5+20</f>
        <v>22.5</v>
      </c>
      <c r="P7" s="743">
        <f>O7+O8+O9+O10+O11+O12+O13+O15+O16+O14</f>
        <v>44873.5</v>
      </c>
      <c r="Q7" s="506"/>
      <c r="R7" s="415"/>
    </row>
    <row r="8" spans="1:26" ht="111" customHeight="1">
      <c r="A8" s="416"/>
      <c r="B8" s="417"/>
      <c r="C8" s="418"/>
      <c r="D8" s="419"/>
      <c r="E8" s="419"/>
      <c r="F8" s="419"/>
      <c r="G8" s="419"/>
      <c r="H8" s="419"/>
      <c r="I8" s="419"/>
      <c r="J8" s="419"/>
      <c r="K8" s="509"/>
      <c r="L8" s="592" t="s">
        <v>357</v>
      </c>
      <c r="M8" s="525">
        <f>486.3+2.1+203.8</f>
        <v>692.2</v>
      </c>
      <c r="N8" s="741"/>
      <c r="O8" s="525">
        <f>721+2.2+206.2</f>
        <v>929.40000000000009</v>
      </c>
      <c r="P8" s="744"/>
    </row>
    <row r="9" spans="1:26" ht="114" customHeight="1">
      <c r="A9" s="416"/>
      <c r="B9" s="417"/>
      <c r="C9" s="418"/>
      <c r="D9" s="419"/>
      <c r="E9" s="419"/>
      <c r="F9" s="419"/>
      <c r="G9" s="419"/>
      <c r="H9" s="419"/>
      <c r="I9" s="419"/>
      <c r="J9" s="419"/>
      <c r="K9" s="509"/>
      <c r="L9" s="592" t="s">
        <v>500</v>
      </c>
      <c r="M9" s="525"/>
      <c r="N9" s="741"/>
      <c r="O9" s="525">
        <f>1933.8+39.8+3935.6</f>
        <v>5909.2</v>
      </c>
      <c r="P9" s="563"/>
    </row>
    <row r="10" spans="1:26" ht="174.75" customHeight="1">
      <c r="A10" s="416"/>
      <c r="B10" s="417"/>
      <c r="C10" s="418"/>
      <c r="D10" s="419"/>
      <c r="E10" s="419"/>
      <c r="F10" s="419"/>
      <c r="G10" s="419"/>
      <c r="H10" s="419"/>
      <c r="I10" s="419"/>
      <c r="J10" s="419"/>
      <c r="K10" s="509"/>
      <c r="L10" s="426" t="s">
        <v>504</v>
      </c>
      <c r="M10" s="525">
        <v>30</v>
      </c>
      <c r="N10" s="741"/>
      <c r="O10" s="525">
        <f>1626.3+1.2+2777.4</f>
        <v>4404.8999999999996</v>
      </c>
      <c r="P10" s="563"/>
    </row>
    <row r="11" spans="1:26" ht="91.5" customHeight="1">
      <c r="A11" s="416"/>
      <c r="B11" s="417"/>
      <c r="C11" s="418"/>
      <c r="D11" s="419"/>
      <c r="E11" s="419"/>
      <c r="F11" s="419"/>
      <c r="G11" s="419"/>
      <c r="H11" s="419"/>
      <c r="I11" s="419"/>
      <c r="J11" s="419"/>
      <c r="K11" s="509"/>
      <c r="L11" s="426" t="s">
        <v>390</v>
      </c>
      <c r="M11" s="525"/>
      <c r="N11" s="741"/>
      <c r="O11" s="525">
        <f>22+25.9+18.4+58.6+140</f>
        <v>264.89999999999998</v>
      </c>
      <c r="P11" s="563"/>
    </row>
    <row r="12" spans="1:26" ht="264.75" customHeight="1">
      <c r="A12" s="422"/>
      <c r="B12" s="423"/>
      <c r="C12" s="424"/>
      <c r="D12" s="425"/>
      <c r="E12" s="425"/>
      <c r="F12" s="419"/>
      <c r="G12" s="425"/>
      <c r="H12" s="425"/>
      <c r="I12" s="425"/>
      <c r="J12" s="419"/>
      <c r="K12" s="509"/>
      <c r="L12" s="426" t="s">
        <v>389</v>
      </c>
      <c r="M12" s="525">
        <f>4942.6+106+128.5+1407.2+951.4+64.6+90.4+3.2+4.5+156.4+146.1+10.2+3.3</f>
        <v>8014.4</v>
      </c>
      <c r="N12" s="741"/>
      <c r="O12" s="525">
        <f>7156.6+35.3+2080.4+117.7+59+3+314.1+333.7+1521.6+8</f>
        <v>11629.400000000003</v>
      </c>
      <c r="P12" s="744">
        <f>O12+O13+O14+O15</f>
        <v>18848.600000000002</v>
      </c>
      <c r="R12" s="404"/>
    </row>
    <row r="13" spans="1:26" ht="51" customHeight="1">
      <c r="A13" s="422"/>
      <c r="B13" s="423"/>
      <c r="C13" s="424"/>
      <c r="D13" s="425"/>
      <c r="E13" s="425"/>
      <c r="F13" s="419"/>
      <c r="G13" s="425"/>
      <c r="H13" s="425"/>
      <c r="I13" s="425"/>
      <c r="J13" s="419"/>
      <c r="K13" s="509"/>
      <c r="L13" s="426" t="s">
        <v>385</v>
      </c>
      <c r="M13" s="525">
        <v>146.30000000000001</v>
      </c>
      <c r="N13" s="741"/>
      <c r="O13" s="525">
        <v>195.9</v>
      </c>
      <c r="P13" s="744"/>
    </row>
    <row r="14" spans="1:26" ht="119.25" customHeight="1">
      <c r="A14" s="422"/>
      <c r="B14" s="423"/>
      <c r="C14" s="424"/>
      <c r="D14" s="425"/>
      <c r="E14" s="425"/>
      <c r="F14" s="419"/>
      <c r="G14" s="425"/>
      <c r="H14" s="425"/>
      <c r="I14" s="425"/>
      <c r="J14" s="419"/>
      <c r="K14" s="509"/>
      <c r="L14" s="426" t="s">
        <v>386</v>
      </c>
      <c r="M14" s="525">
        <f>562.7+169.9+1453.2+23.2+3+102.8+28+5.5+0.2</f>
        <v>2348.5</v>
      </c>
      <c r="N14" s="741"/>
      <c r="O14" s="525">
        <f>809.8+2.4+244.6+5552+3.3+2.1+107.6+6.6+31.4+0.2+168</f>
        <v>6928.0000000000009</v>
      </c>
      <c r="P14" s="744"/>
      <c r="R14" s="404"/>
    </row>
    <row r="15" spans="1:26" ht="130.5" customHeight="1">
      <c r="A15" s="422"/>
      <c r="B15" s="423"/>
      <c r="C15" s="424"/>
      <c r="D15" s="425"/>
      <c r="E15" s="425"/>
      <c r="F15" s="419"/>
      <c r="G15" s="425"/>
      <c r="H15" s="425"/>
      <c r="I15" s="425"/>
      <c r="J15" s="419"/>
      <c r="K15" s="509"/>
      <c r="L15" s="426" t="s">
        <v>499</v>
      </c>
      <c r="M15" s="525"/>
      <c r="N15" s="741"/>
      <c r="O15" s="525">
        <f>73.2+22.1</f>
        <v>95.300000000000011</v>
      </c>
      <c r="P15" s="563"/>
      <c r="R15" s="404"/>
    </row>
    <row r="16" spans="1:26" ht="51" customHeight="1">
      <c r="A16" s="577"/>
      <c r="B16" s="423"/>
      <c r="C16" s="424"/>
      <c r="D16" s="508"/>
      <c r="E16" s="508"/>
      <c r="F16" s="507"/>
      <c r="G16" s="508"/>
      <c r="H16" s="508"/>
      <c r="I16" s="508"/>
      <c r="J16" s="507"/>
      <c r="K16" s="575"/>
      <c r="L16" s="593" t="s">
        <v>387</v>
      </c>
      <c r="M16" s="421">
        <v>7259</v>
      </c>
      <c r="N16" s="742"/>
      <c r="O16" s="421">
        <v>14494</v>
      </c>
      <c r="P16" s="559"/>
    </row>
    <row r="17" spans="1:20" ht="125.25" customHeight="1">
      <c r="A17" s="427" t="s">
        <v>26</v>
      </c>
      <c r="B17" s="428" t="s">
        <v>85</v>
      </c>
      <c r="C17" s="429">
        <v>2143</v>
      </c>
      <c r="D17" s="429">
        <v>1500</v>
      </c>
      <c r="E17" s="429"/>
      <c r="F17" s="429">
        <f>E17+D17+C17</f>
        <v>3643</v>
      </c>
      <c r="G17" s="429">
        <v>2112</v>
      </c>
      <c r="H17" s="429"/>
      <c r="I17" s="429"/>
      <c r="J17" s="429">
        <f>SUM(G17:I17)</f>
        <v>2112</v>
      </c>
      <c r="K17" s="430">
        <f>J17/F17*100</f>
        <v>57.974197090310184</v>
      </c>
      <c r="L17" s="594" t="s">
        <v>391</v>
      </c>
      <c r="O17" s="389">
        <f>112+2000</f>
        <v>2112</v>
      </c>
      <c r="P17" s="571">
        <f>J17-O17</f>
        <v>0</v>
      </c>
    </row>
    <row r="18" spans="1:20" ht="95.25" customHeight="1">
      <c r="A18" s="427" t="s">
        <v>27</v>
      </c>
      <c r="B18" s="432" t="s">
        <v>84</v>
      </c>
      <c r="C18" s="429">
        <f t="shared" ref="C18:J18" si="0">C19+C59+C65</f>
        <v>419133.8</v>
      </c>
      <c r="D18" s="429">
        <f t="shared" si="0"/>
        <v>863939.9</v>
      </c>
      <c r="E18" s="429">
        <f t="shared" si="0"/>
        <v>150186</v>
      </c>
      <c r="F18" s="429">
        <f t="shared" si="0"/>
        <v>1433259.7000000002</v>
      </c>
      <c r="G18" s="429">
        <f t="shared" si="0"/>
        <v>396902</v>
      </c>
      <c r="H18" s="429">
        <f t="shared" si="0"/>
        <v>826792.7</v>
      </c>
      <c r="I18" s="429">
        <f t="shared" si="0"/>
        <v>150159.5</v>
      </c>
      <c r="J18" s="429">
        <f t="shared" si="0"/>
        <v>1373854.2</v>
      </c>
      <c r="K18" s="430">
        <f>J18*100/F18</f>
        <v>95.855217306396028</v>
      </c>
      <c r="L18" s="433"/>
      <c r="O18" s="434"/>
      <c r="Q18" s="522"/>
      <c r="R18" s="523"/>
      <c r="S18" s="522"/>
    </row>
    <row r="19" spans="1:20" ht="156" customHeight="1">
      <c r="A19" s="576" t="s">
        <v>58</v>
      </c>
      <c r="B19" s="388" t="s">
        <v>33</v>
      </c>
      <c r="C19" s="579">
        <v>389465.9</v>
      </c>
      <c r="D19" s="579">
        <v>863855.8</v>
      </c>
      <c r="E19" s="584">
        <v>143348.5</v>
      </c>
      <c r="F19" s="581">
        <f>E19+D19+C19</f>
        <v>1396670.2000000002</v>
      </c>
      <c r="G19" s="579">
        <v>367954.9</v>
      </c>
      <c r="H19" s="579">
        <v>826708.6</v>
      </c>
      <c r="I19" s="579">
        <v>143322</v>
      </c>
      <c r="J19" s="581">
        <f>G19+H19+I19</f>
        <v>1337985.5</v>
      </c>
      <c r="K19" s="574">
        <f>J19*100/F19</f>
        <v>95.798242133325374</v>
      </c>
      <c r="L19" s="595" t="s">
        <v>429</v>
      </c>
      <c r="M19" s="511">
        <f>26980.6+43.6+157.3+9698.1+1438.9+583.6+2486.6+67.4+1200.4</f>
        <v>42656.5</v>
      </c>
      <c r="N19" s="745">
        <f>SUM(M19:M58)</f>
        <v>771598.41999999993</v>
      </c>
      <c r="O19" s="518">
        <f>42996.8+131.89+291.5+12336.17+3036.65+1324.65+5622.65+362.44+2273.25</f>
        <v>68376</v>
      </c>
      <c r="P19" s="517">
        <f>O19+O20+O21+O22+O23+O24+O25+O26+O27+O28+O29+O30+O31+O32+O33+O34+O35+O36+O37+O38+O39+O40+O41+O42+O43+O44+O45+O46+O47+O48+O50+O51+O52+O53+O54+O55+O56+O57+O58</f>
        <v>1337985.4999999998</v>
      </c>
      <c r="Q19" s="521">
        <f>J19-P19</f>
        <v>0</v>
      </c>
      <c r="R19" s="522"/>
      <c r="S19" s="522"/>
    </row>
    <row r="20" spans="1:20" s="391" customFormat="1" ht="83.25" customHeight="1">
      <c r="A20" s="422"/>
      <c r="B20" s="420"/>
      <c r="C20" s="435"/>
      <c r="D20" s="435"/>
      <c r="E20" s="435"/>
      <c r="F20" s="436"/>
      <c r="G20" s="435"/>
      <c r="H20" s="435"/>
      <c r="I20" s="435"/>
      <c r="J20" s="436"/>
      <c r="K20" s="509"/>
      <c r="L20" s="420" t="s">
        <v>359</v>
      </c>
      <c r="M20" s="525">
        <v>72.75</v>
      </c>
      <c r="N20" s="746"/>
      <c r="O20" s="519">
        <v>7.0000000000000001E-3</v>
      </c>
      <c r="P20" s="563"/>
      <c r="Q20" s="573"/>
    </row>
    <row r="21" spans="1:20" s="391" customFormat="1" ht="248.25" customHeight="1">
      <c r="A21" s="422"/>
      <c r="B21" s="420"/>
      <c r="C21" s="435"/>
      <c r="D21" s="435"/>
      <c r="E21" s="435"/>
      <c r="F21" s="436"/>
      <c r="G21" s="435"/>
      <c r="H21" s="435"/>
      <c r="I21" s="435"/>
      <c r="J21" s="436"/>
      <c r="K21" s="509"/>
      <c r="L21" s="592" t="s">
        <v>430</v>
      </c>
      <c r="M21" s="525"/>
      <c r="N21" s="746"/>
      <c r="O21" s="519">
        <f>10+180+600+80.7+79.952+198.41+30+53.13+47.92+599.5+262.34+90+80</f>
        <v>2311.9520000000002</v>
      </c>
      <c r="P21" s="563"/>
      <c r="Q21" s="573"/>
    </row>
    <row r="22" spans="1:20" s="391" customFormat="1" ht="396.75" customHeight="1">
      <c r="A22" s="437"/>
      <c r="B22" s="420"/>
      <c r="C22" s="435"/>
      <c r="D22" s="435"/>
      <c r="E22" s="435"/>
      <c r="F22" s="436"/>
      <c r="G22" s="435"/>
      <c r="H22" s="435"/>
      <c r="I22" s="435"/>
      <c r="J22" s="436"/>
      <c r="K22" s="509"/>
      <c r="L22" s="420" t="s">
        <v>447</v>
      </c>
      <c r="M22" s="525">
        <f>106+199.1+122.1+138.3+23.4+8.4+161.6+130+55+37.9+4+9.5+3.8+122.4+40+2510.2+86.5+68.7+35+154.2+13.6+597.8+1133.3+1410.6+5+5</f>
        <v>7181.4</v>
      </c>
      <c r="N22" s="746"/>
      <c r="O22" s="520">
        <f>110.41+304.77+235.5+174.95+72.3+12.8+17.6+20.2+19.16+13.16+6.8+281.49+30+80+48.87+12.35+18+150+285.86+775.42+2.7+0.9+44+37.75+1500.48+2330.88+7.5+7.5+7.5+7.5+7.5+7.5+7.5+7.5+7.5</f>
        <v>6653.8499999999995</v>
      </c>
      <c r="P22" s="563"/>
      <c r="Q22" s="573"/>
    </row>
    <row r="23" spans="1:20" s="391" customFormat="1" ht="67.5" customHeight="1">
      <c r="A23" s="437"/>
      <c r="B23" s="420"/>
      <c r="C23" s="435"/>
      <c r="D23" s="435"/>
      <c r="E23" s="435"/>
      <c r="F23" s="436"/>
      <c r="G23" s="435"/>
      <c r="H23" s="435"/>
      <c r="I23" s="435"/>
      <c r="J23" s="436"/>
      <c r="K23" s="509"/>
      <c r="L23" s="420" t="s">
        <v>431</v>
      </c>
      <c r="M23" s="525"/>
      <c r="N23" s="746"/>
      <c r="O23" s="520">
        <f>30+84.68+84.68+84.68+84.68+84.68+84.68</f>
        <v>538.08000000000004</v>
      </c>
      <c r="P23" s="563"/>
      <c r="Q23" s="573"/>
    </row>
    <row r="24" spans="1:20" s="391" customFormat="1" ht="198.75" customHeight="1">
      <c r="A24" s="437"/>
      <c r="B24" s="420"/>
      <c r="C24" s="435"/>
      <c r="D24" s="435"/>
      <c r="E24" s="435"/>
      <c r="F24" s="436"/>
      <c r="G24" s="435"/>
      <c r="H24" s="435"/>
      <c r="I24" s="435"/>
      <c r="J24" s="436"/>
      <c r="K24" s="509"/>
      <c r="L24" s="420" t="s">
        <v>457</v>
      </c>
      <c r="M24" s="525"/>
      <c r="N24" s="746"/>
      <c r="O24" s="520">
        <f>106.2+19.94+29.43+68.09+86.98+11.66+140.12+193.18+26.29+97.87+108.52+35.48+176.3+30+400+50+63.11+15+61.03+31.74</f>
        <v>1750.9399999999998</v>
      </c>
      <c r="P24" s="563"/>
      <c r="Q24" s="573"/>
    </row>
    <row r="25" spans="1:20" s="391" customFormat="1" ht="99.75" customHeight="1">
      <c r="A25" s="437"/>
      <c r="B25" s="420"/>
      <c r="C25" s="435"/>
      <c r="D25" s="435"/>
      <c r="E25" s="435"/>
      <c r="F25" s="436"/>
      <c r="G25" s="435"/>
      <c r="H25" s="435"/>
      <c r="I25" s="435"/>
      <c r="J25" s="436"/>
      <c r="K25" s="509"/>
      <c r="L25" s="420" t="s">
        <v>432</v>
      </c>
      <c r="M25" s="525">
        <f>97856.7+35.25+1347.53+947.24+28.09</f>
        <v>100214.81</v>
      </c>
      <c r="N25" s="746"/>
      <c r="O25" s="519">
        <f>145853.26+50.89+944.9+22.37</f>
        <v>146871.42000000001</v>
      </c>
      <c r="P25" s="563"/>
      <c r="Q25" s="573"/>
    </row>
    <row r="26" spans="1:20" s="391" customFormat="1" ht="65.25" customHeight="1">
      <c r="A26" s="437"/>
      <c r="B26" s="420"/>
      <c r="C26" s="435"/>
      <c r="D26" s="435"/>
      <c r="E26" s="435"/>
      <c r="F26" s="436"/>
      <c r="G26" s="435"/>
      <c r="H26" s="435"/>
      <c r="I26" s="435"/>
      <c r="J26" s="436"/>
      <c r="K26" s="509"/>
      <c r="L26" s="592" t="s">
        <v>458</v>
      </c>
      <c r="M26" s="525"/>
      <c r="N26" s="746"/>
      <c r="O26" s="519">
        <f>278.771+192.8</f>
        <v>471.57100000000003</v>
      </c>
      <c r="P26" s="563"/>
      <c r="Q26" s="573"/>
    </row>
    <row r="27" spans="1:20" s="391" customFormat="1" ht="65.25" customHeight="1">
      <c r="A27" s="437"/>
      <c r="B27" s="420"/>
      <c r="C27" s="435"/>
      <c r="D27" s="435"/>
      <c r="E27" s="435"/>
      <c r="F27" s="436"/>
      <c r="G27" s="435"/>
      <c r="H27" s="435"/>
      <c r="I27" s="435"/>
      <c r="J27" s="436"/>
      <c r="K27" s="509"/>
      <c r="L27" s="592" t="s">
        <v>451</v>
      </c>
      <c r="M27" s="525"/>
      <c r="N27" s="746"/>
      <c r="O27" s="519">
        <f>266.47+133.53</f>
        <v>400</v>
      </c>
      <c r="P27" s="563"/>
      <c r="Q27" s="573"/>
    </row>
    <row r="28" spans="1:20" s="391" customFormat="1" ht="164.25" customHeight="1">
      <c r="A28" s="437"/>
      <c r="B28" s="420"/>
      <c r="C28" s="435"/>
      <c r="D28" s="435"/>
      <c r="E28" s="435"/>
      <c r="F28" s="436"/>
      <c r="G28" s="435"/>
      <c r="H28" s="435"/>
      <c r="I28" s="435"/>
      <c r="J28" s="436"/>
      <c r="K28" s="509"/>
      <c r="L28" s="420" t="s">
        <v>433</v>
      </c>
      <c r="M28" s="525">
        <f>37256.75+165.4+1576.31+37236.23+36.3+7690.44+4011.3+7496.32+302.86+10829.39</f>
        <v>106601.30000000002</v>
      </c>
      <c r="N28" s="746"/>
      <c r="O28" s="519">
        <f>64182.37+245.41+3211.64+54503.07+200.34+14165.28+7337.61+256.41+17254.99+928.37+18681.62</f>
        <v>180967.11</v>
      </c>
      <c r="P28" s="544"/>
      <c r="Q28" s="545"/>
    </row>
    <row r="29" spans="1:20" s="391" customFormat="1" ht="111" customHeight="1">
      <c r="A29" s="437"/>
      <c r="B29" s="420"/>
      <c r="C29" s="435"/>
      <c r="D29" s="435"/>
      <c r="E29" s="435"/>
      <c r="F29" s="436"/>
      <c r="G29" s="435"/>
      <c r="H29" s="435"/>
      <c r="I29" s="435"/>
      <c r="J29" s="436"/>
      <c r="K29" s="509"/>
      <c r="L29" s="592" t="s">
        <v>367</v>
      </c>
      <c r="M29" s="525"/>
      <c r="N29" s="746"/>
      <c r="O29" s="519">
        <f>141.94+21.44+695.99</f>
        <v>859.37</v>
      </c>
      <c r="P29" s="544"/>
      <c r="Q29" s="545"/>
    </row>
    <row r="30" spans="1:20" s="391" customFormat="1" ht="363" customHeight="1">
      <c r="A30" s="437"/>
      <c r="B30" s="420"/>
      <c r="C30" s="435"/>
      <c r="D30" s="435"/>
      <c r="E30" s="435"/>
      <c r="F30" s="436"/>
      <c r="G30" s="435"/>
      <c r="H30" s="435"/>
      <c r="I30" s="435"/>
      <c r="J30" s="436"/>
      <c r="K30" s="509"/>
      <c r="L30" s="420" t="s">
        <v>434</v>
      </c>
      <c r="M30" s="525">
        <f>34.78+10+145.96+116.13</f>
        <v>306.87</v>
      </c>
      <c r="N30" s="746"/>
      <c r="O30" s="519">
        <f>10+225+295+83.48+180+57.94+191.65+474.86+361.99+237.62+1609.33+1718.25+1464.93+244.91+185+1599.27+242.53+71.06+279.97+153.28+429.9+108.24+407.65+188.96+519.74+237.76+156.42+211.03+187.66+451.36+79.67+270+43.22</f>
        <v>12977.68</v>
      </c>
      <c r="P30" s="563"/>
      <c r="Q30" s="573"/>
    </row>
    <row r="31" spans="1:20" s="391" customFormat="1" ht="363.75" customHeight="1">
      <c r="A31" s="437"/>
      <c r="B31" s="420"/>
      <c r="C31" s="435"/>
      <c r="D31" s="435"/>
      <c r="E31" s="435"/>
      <c r="F31" s="436"/>
      <c r="G31" s="435"/>
      <c r="H31" s="435"/>
      <c r="I31" s="435"/>
      <c r="J31" s="436"/>
      <c r="K31" s="438"/>
      <c r="L31" s="439" t="s">
        <v>448</v>
      </c>
      <c r="M31" s="525">
        <f>538.42+136+23.1+70+599.99+58+282.39+4+4+18+13+13+70+140+70+50+70+70+1202.4+70+70+70+199.87+383.88+1+4+8.5+15+24.5+25+38.5+45+55.8+29.7+575.13+585.97+570.62+200+549.28+157.35+19.04+44.12</f>
        <v>7174.56</v>
      </c>
      <c r="N31" s="746"/>
      <c r="O31" s="519">
        <f>58.23+185.05+410.65+46.67+140+230+396.74+350+323.35+232.21+43.05+173.55+599.95+362.9+480.04+364.87+398.88+585.01+499.89+2872.66+476.39+287.73+296.24+367.65+599.76+569.46+65.3+534+365.26+55.78+164.14+46.52+249</f>
        <v>12830.93</v>
      </c>
      <c r="P31" s="516"/>
      <c r="Q31" s="546">
        <f>O31+O32+O33+O34+O35+O36+O37+O38</f>
        <v>39171.61</v>
      </c>
      <c r="R31" s="461"/>
      <c r="T31" s="415"/>
    </row>
    <row r="32" spans="1:20" s="391" customFormat="1" ht="309.75" customHeight="1">
      <c r="A32" s="437"/>
      <c r="B32" s="420"/>
      <c r="C32" s="435"/>
      <c r="D32" s="435"/>
      <c r="E32" s="435"/>
      <c r="F32" s="436"/>
      <c r="G32" s="435"/>
      <c r="H32" s="435"/>
      <c r="I32" s="435"/>
      <c r="J32" s="436"/>
      <c r="K32" s="438"/>
      <c r="L32" s="439" t="s">
        <v>446</v>
      </c>
      <c r="M32" s="525"/>
      <c r="N32" s="746"/>
      <c r="O32" s="519">
        <f>1000+95.45+124.7+36.25+150+150+145+150+52.1+89.3+37.19+232.47+71.76+49.56+26.2+482.4+142.9+45+63.88+46.3+29.57+1.26+9.37+12.07+13.5+0.9+7.2+15.65+0.87+28.8+4.9+135.53+53.42+26.71</f>
        <v>3530.2100000000014</v>
      </c>
      <c r="P32" s="516"/>
      <c r="Q32" s="506">
        <f>O31+O32+O33+O34</f>
        <v>21344.280000000002</v>
      </c>
      <c r="R32" s="415">
        <v>23621</v>
      </c>
      <c r="S32" s="415">
        <f>R32-Q32</f>
        <v>2276.7199999999975</v>
      </c>
      <c r="T32" s="415"/>
    </row>
    <row r="33" spans="1:20" s="391" customFormat="1" ht="362.25" customHeight="1">
      <c r="A33" s="437"/>
      <c r="B33" s="420"/>
      <c r="C33" s="435"/>
      <c r="D33" s="435"/>
      <c r="E33" s="435"/>
      <c r="F33" s="436"/>
      <c r="G33" s="435"/>
      <c r="H33" s="435"/>
      <c r="I33" s="435"/>
      <c r="J33" s="436"/>
      <c r="K33" s="438"/>
      <c r="L33" s="439" t="s">
        <v>459</v>
      </c>
      <c r="M33" s="525"/>
      <c r="N33" s="746"/>
      <c r="O33" s="519">
        <f>81.04+1514.63+48.83+204+50+178+300+125.93+235.23+13+21+10.3+25+19.6+58.6+10.6+10+11.12+108.83+7.5+7.5+7.5+5+7.5+2.5+5+7.5+7.5+7.5+8.48+37.5+4.88+24.54+14.58+65+66.5+73.5+7.5</f>
        <v>3393.1899999999996</v>
      </c>
      <c r="P33" s="516"/>
      <c r="Q33" s="506"/>
      <c r="R33" s="415"/>
      <c r="T33" s="415"/>
    </row>
    <row r="34" spans="1:20" s="391" customFormat="1" ht="206.25" customHeight="1">
      <c r="A34" s="437"/>
      <c r="B34" s="420"/>
      <c r="C34" s="435"/>
      <c r="D34" s="435"/>
      <c r="E34" s="435"/>
      <c r="F34" s="436"/>
      <c r="G34" s="435"/>
      <c r="H34" s="435"/>
      <c r="I34" s="435"/>
      <c r="J34" s="436"/>
      <c r="K34" s="438"/>
      <c r="L34" s="439" t="s">
        <v>460</v>
      </c>
      <c r="M34" s="525"/>
      <c r="N34" s="746"/>
      <c r="O34" s="519">
        <f>171.1+426.78+52.35+7.8+84.68+84.68+426.41+84.68+137.47+52+50+12</f>
        <v>1589.9500000000003</v>
      </c>
      <c r="P34" s="516"/>
      <c r="Q34" s="506"/>
      <c r="R34" s="415"/>
      <c r="T34" s="415"/>
    </row>
    <row r="35" spans="1:20" s="391" customFormat="1" ht="365.25" customHeight="1">
      <c r="A35" s="437"/>
      <c r="B35" s="420"/>
      <c r="C35" s="435"/>
      <c r="D35" s="435"/>
      <c r="E35" s="435"/>
      <c r="F35" s="436"/>
      <c r="G35" s="435"/>
      <c r="H35" s="435"/>
      <c r="I35" s="435"/>
      <c r="J35" s="436"/>
      <c r="K35" s="438"/>
      <c r="L35" s="439" t="s">
        <v>461</v>
      </c>
      <c r="M35" s="525"/>
      <c r="N35" s="746"/>
      <c r="O35" s="519">
        <f>42.13+245.53+29.41+14+70.14+152.55+100+85.5+89.66+2647.9+74.5+66.6+242.53+115.6+329.04+55.78+55.78+485.6+116.73+55.78+481.32+57.67+124+875.28+145.88+328.93+278.65+526.93+290+305+598.49+242.53+11.5+212.86+4.5</f>
        <v>9558.2999999999993</v>
      </c>
      <c r="P35" s="516"/>
      <c r="Q35" s="506"/>
      <c r="R35" s="415"/>
      <c r="T35" s="415"/>
    </row>
    <row r="36" spans="1:20" s="391" customFormat="1" ht="361.5" customHeight="1">
      <c r="A36" s="437"/>
      <c r="B36" s="420"/>
      <c r="C36" s="435"/>
      <c r="D36" s="435"/>
      <c r="E36" s="435"/>
      <c r="F36" s="436"/>
      <c r="G36" s="435"/>
      <c r="H36" s="435"/>
      <c r="I36" s="435"/>
      <c r="J36" s="436"/>
      <c r="K36" s="438"/>
      <c r="L36" s="439" t="s">
        <v>462</v>
      </c>
      <c r="M36" s="525"/>
      <c r="N36" s="746"/>
      <c r="O36" s="519">
        <f>433.16+196.47+317.56+94.54+47.06+66+18+12.85+370.34+47+26+58.41+205+486.17+38.6+13.5+32.74+13.5+196+66.16+12.16+358.61+10.04+180.8+30+10+40+1862+140+140+140+140+50+59.44+145.16+20</f>
        <v>6077.2699999999995</v>
      </c>
      <c r="P36" s="516"/>
      <c r="Q36" s="506"/>
      <c r="R36" s="415"/>
      <c r="T36" s="415"/>
    </row>
    <row r="37" spans="1:20" s="391" customFormat="1" ht="165" customHeight="1">
      <c r="A37" s="437"/>
      <c r="B37" s="420"/>
      <c r="C37" s="435"/>
      <c r="D37" s="435"/>
      <c r="E37" s="435"/>
      <c r="F37" s="436"/>
      <c r="G37" s="435"/>
      <c r="H37" s="435"/>
      <c r="I37" s="435"/>
      <c r="J37" s="436"/>
      <c r="K37" s="438"/>
      <c r="L37" s="439" t="s">
        <v>463</v>
      </c>
      <c r="M37" s="525"/>
      <c r="N37" s="746"/>
      <c r="O37" s="519">
        <f>50+47+50+10+41.08+150+37.39+72.3+116+177.66+927.44+52</f>
        <v>1730.87</v>
      </c>
      <c r="P37" s="516"/>
      <c r="Q37" s="506"/>
      <c r="R37" s="415"/>
      <c r="T37" s="415"/>
    </row>
    <row r="38" spans="1:20" s="391" customFormat="1" ht="80.25" customHeight="1">
      <c r="A38" s="437"/>
      <c r="B38" s="420"/>
      <c r="C38" s="435"/>
      <c r="D38" s="435"/>
      <c r="E38" s="435"/>
      <c r="F38" s="436"/>
      <c r="G38" s="435"/>
      <c r="H38" s="435"/>
      <c r="I38" s="435"/>
      <c r="J38" s="436"/>
      <c r="K38" s="438"/>
      <c r="L38" s="596" t="s">
        <v>464</v>
      </c>
      <c r="M38" s="525"/>
      <c r="N38" s="746"/>
      <c r="O38" s="519">
        <f>18.78+68.05+344.06+30</f>
        <v>460.89</v>
      </c>
      <c r="P38" s="516"/>
      <c r="Q38" s="506"/>
      <c r="R38" s="415"/>
      <c r="T38" s="415"/>
    </row>
    <row r="39" spans="1:20" s="391" customFormat="1" ht="131.25" customHeight="1">
      <c r="A39" s="437"/>
      <c r="B39" s="420"/>
      <c r="C39" s="435"/>
      <c r="D39" s="435"/>
      <c r="E39" s="435"/>
      <c r="F39" s="436"/>
      <c r="G39" s="435"/>
      <c r="H39" s="435"/>
      <c r="I39" s="435"/>
      <c r="J39" s="436"/>
      <c r="K39" s="438"/>
      <c r="L39" s="597" t="s">
        <v>505</v>
      </c>
      <c r="M39" s="525"/>
      <c r="N39" s="746"/>
      <c r="O39" s="519">
        <v>333.3</v>
      </c>
      <c r="P39" s="516"/>
      <c r="Q39" s="506"/>
      <c r="R39" s="415"/>
      <c r="T39" s="415"/>
    </row>
    <row r="40" spans="1:20" s="391" customFormat="1" ht="108" customHeight="1">
      <c r="A40" s="437"/>
      <c r="B40" s="420"/>
      <c r="C40" s="435"/>
      <c r="D40" s="435"/>
      <c r="E40" s="435"/>
      <c r="F40" s="436"/>
      <c r="G40" s="435"/>
      <c r="H40" s="435"/>
      <c r="I40" s="435"/>
      <c r="J40" s="436"/>
      <c r="K40" s="438"/>
      <c r="L40" s="439" t="s">
        <v>435</v>
      </c>
      <c r="M40" s="525">
        <v>27288.2</v>
      </c>
      <c r="N40" s="746"/>
      <c r="O40" s="519">
        <v>62990.78</v>
      </c>
      <c r="P40" s="563"/>
      <c r="Q40" s="573"/>
    </row>
    <row r="41" spans="1:20" s="391" customFormat="1" ht="108.75" customHeight="1">
      <c r="A41" s="437"/>
      <c r="B41" s="420"/>
      <c r="C41" s="435"/>
      <c r="D41" s="435"/>
      <c r="E41" s="435"/>
      <c r="F41" s="436"/>
      <c r="G41" s="435"/>
      <c r="H41" s="435"/>
      <c r="I41" s="435"/>
      <c r="J41" s="436"/>
      <c r="K41" s="438"/>
      <c r="L41" s="439" t="s">
        <v>436</v>
      </c>
      <c r="M41" s="525">
        <f>410725.05+98.83+2757.79+5476.13+2317.14</f>
        <v>421374.94</v>
      </c>
      <c r="N41" s="746"/>
      <c r="O41" s="519">
        <f>649036.31+83.64+1981.46+2550.86+2054.88</f>
        <v>655707.15</v>
      </c>
      <c r="P41" s="563"/>
      <c r="Q41" s="573"/>
    </row>
    <row r="42" spans="1:20" s="391" customFormat="1" ht="57" customHeight="1">
      <c r="A42" s="437"/>
      <c r="B42" s="420"/>
      <c r="C42" s="435"/>
      <c r="D42" s="435"/>
      <c r="E42" s="435"/>
      <c r="F42" s="436"/>
      <c r="G42" s="435"/>
      <c r="H42" s="435"/>
      <c r="I42" s="435"/>
      <c r="J42" s="436"/>
      <c r="K42" s="438"/>
      <c r="L42" s="598" t="s">
        <v>437</v>
      </c>
      <c r="M42" s="525"/>
      <c r="N42" s="746"/>
      <c r="O42" s="519">
        <f>2648.45+234.98</f>
        <v>2883.43</v>
      </c>
      <c r="P42" s="563"/>
      <c r="Q42" s="573"/>
    </row>
    <row r="43" spans="1:20" s="391" customFormat="1" ht="120.75" customHeight="1">
      <c r="A43" s="437"/>
      <c r="B43" s="420"/>
      <c r="C43" s="435"/>
      <c r="D43" s="435"/>
      <c r="E43" s="435"/>
      <c r="F43" s="436"/>
      <c r="G43" s="435"/>
      <c r="H43" s="435"/>
      <c r="I43" s="435"/>
      <c r="J43" s="436"/>
      <c r="K43" s="438"/>
      <c r="L43" s="598" t="s">
        <v>438</v>
      </c>
      <c r="M43" s="525"/>
      <c r="N43" s="746"/>
      <c r="O43" s="519">
        <f>2920.46+931+441+299.99+35.54+970.65+512.36+284.2</f>
        <v>6395.1999999999989</v>
      </c>
      <c r="P43" s="563"/>
      <c r="Q43" s="573"/>
    </row>
    <row r="44" spans="1:20" s="391" customFormat="1" ht="169.5" customHeight="1">
      <c r="A44" s="437"/>
      <c r="B44" s="420"/>
      <c r="C44" s="435"/>
      <c r="D44" s="435"/>
      <c r="E44" s="435"/>
      <c r="F44" s="436"/>
      <c r="G44" s="435"/>
      <c r="H44" s="435"/>
      <c r="I44" s="435"/>
      <c r="J44" s="436"/>
      <c r="K44" s="438"/>
      <c r="L44" s="598" t="s">
        <v>452</v>
      </c>
      <c r="M44" s="525"/>
      <c r="N44" s="746"/>
      <c r="O44" s="519">
        <f>59.6+19+9+6.12+0.72+28.64+10.46+5.96+5.8+38.2+17.17+10.89+3.71</f>
        <v>215.27</v>
      </c>
      <c r="P44" s="563"/>
      <c r="Q44" s="573"/>
    </row>
    <row r="45" spans="1:20" s="391" customFormat="1" ht="36" customHeight="1">
      <c r="A45" s="437"/>
      <c r="B45" s="420"/>
      <c r="C45" s="435"/>
      <c r="D45" s="435"/>
      <c r="E45" s="435"/>
      <c r="F45" s="436"/>
      <c r="G45" s="435"/>
      <c r="H45" s="435"/>
      <c r="I45" s="435"/>
      <c r="J45" s="436"/>
      <c r="K45" s="438"/>
      <c r="L45" s="599" t="s">
        <v>439</v>
      </c>
      <c r="M45" s="525">
        <f>1164.9+3143.7</f>
        <v>4308.6000000000004</v>
      </c>
      <c r="N45" s="746"/>
      <c r="O45" s="519">
        <f>2390.63+5327.78</f>
        <v>7718.41</v>
      </c>
      <c r="P45" s="563"/>
      <c r="Q45" s="573"/>
    </row>
    <row r="46" spans="1:20" s="391" customFormat="1" ht="81.75" customHeight="1">
      <c r="A46" s="437"/>
      <c r="B46" s="420"/>
      <c r="C46" s="435"/>
      <c r="D46" s="435"/>
      <c r="E46" s="435"/>
      <c r="F46" s="436"/>
      <c r="G46" s="435"/>
      <c r="H46" s="435"/>
      <c r="I46" s="435"/>
      <c r="J46" s="436"/>
      <c r="K46" s="438"/>
      <c r="L46" s="599" t="s">
        <v>440</v>
      </c>
      <c r="M46" s="525"/>
      <c r="N46" s="746"/>
      <c r="O46" s="519">
        <f>980+20.41</f>
        <v>1000.41</v>
      </c>
      <c r="P46" s="563"/>
      <c r="Q46" s="573"/>
    </row>
    <row r="47" spans="1:20" s="391" customFormat="1" ht="59.25" customHeight="1">
      <c r="A47" s="437"/>
      <c r="B47" s="420"/>
      <c r="C47" s="435"/>
      <c r="D47" s="435"/>
      <c r="E47" s="435"/>
      <c r="F47" s="436"/>
      <c r="G47" s="435"/>
      <c r="H47" s="435"/>
      <c r="I47" s="435"/>
      <c r="J47" s="436"/>
      <c r="K47" s="438"/>
      <c r="L47" s="600" t="s">
        <v>450</v>
      </c>
      <c r="M47" s="525">
        <f>207.75+2056.75+18510.7</f>
        <v>20775.2</v>
      </c>
      <c r="N47" s="746"/>
      <c r="O47" s="519">
        <f>388.03+3841.5+34573.5</f>
        <v>38803.03</v>
      </c>
      <c r="P47" s="563"/>
      <c r="Q47" s="573"/>
    </row>
    <row r="48" spans="1:20" s="391" customFormat="1" ht="66.75" customHeight="1">
      <c r="A48" s="437"/>
      <c r="B48" s="420"/>
      <c r="C48" s="435"/>
      <c r="D48" s="435"/>
      <c r="E48" s="435"/>
      <c r="F48" s="436"/>
      <c r="G48" s="435"/>
      <c r="H48" s="435"/>
      <c r="I48" s="435"/>
      <c r="J48" s="436"/>
      <c r="K48" s="438"/>
      <c r="L48" s="600" t="s">
        <v>465</v>
      </c>
      <c r="M48" s="525"/>
      <c r="N48" s="746"/>
      <c r="O48" s="519">
        <f>350.95+3474.42+31269.8</f>
        <v>35095.17</v>
      </c>
      <c r="P48" s="563"/>
      <c r="Q48" s="573"/>
    </row>
    <row r="49" spans="1:18" s="391" customFormat="1" ht="66.75" hidden="1" customHeight="1">
      <c r="A49" s="437"/>
      <c r="B49" s="420"/>
      <c r="C49" s="435"/>
      <c r="D49" s="435"/>
      <c r="E49" s="435"/>
      <c r="F49" s="436"/>
      <c r="G49" s="435"/>
      <c r="H49" s="435"/>
      <c r="I49" s="435"/>
      <c r="J49" s="436"/>
      <c r="K49" s="438"/>
      <c r="L49" s="548"/>
      <c r="M49" s="525"/>
      <c r="N49" s="746"/>
      <c r="O49" s="519"/>
      <c r="P49" s="563"/>
      <c r="Q49" s="573"/>
    </row>
    <row r="50" spans="1:18" s="391" customFormat="1" ht="99" customHeight="1">
      <c r="A50" s="441"/>
      <c r="B50" s="420"/>
      <c r="C50" s="420"/>
      <c r="D50" s="420"/>
      <c r="E50" s="420"/>
      <c r="F50" s="420"/>
      <c r="G50" s="420"/>
      <c r="H50" s="420"/>
      <c r="I50" s="420"/>
      <c r="J50" s="420"/>
      <c r="K50" s="420"/>
      <c r="L50" s="439" t="s">
        <v>441</v>
      </c>
      <c r="M50" s="442">
        <f>7699.24+41.88+3+324.29+235.47+3.9+105.98+122.09</f>
        <v>8535.8499999999985</v>
      </c>
      <c r="N50" s="746"/>
      <c r="O50" s="519">
        <f>11730.86+14.67+56.35+116.77+606.64+111.69+91.86</f>
        <v>12728.840000000002</v>
      </c>
      <c r="P50" s="563"/>
      <c r="Q50" s="573"/>
    </row>
    <row r="51" spans="1:18" s="391" customFormat="1" ht="114.75" customHeight="1">
      <c r="A51" s="441"/>
      <c r="B51" s="420"/>
      <c r="C51" s="420"/>
      <c r="D51" s="420"/>
      <c r="E51" s="420"/>
      <c r="F51" s="420"/>
      <c r="G51" s="420"/>
      <c r="H51" s="420"/>
      <c r="I51" s="420"/>
      <c r="J51" s="420"/>
      <c r="K51" s="420"/>
      <c r="L51" s="598" t="s">
        <v>442</v>
      </c>
      <c r="M51" s="442"/>
      <c r="N51" s="746"/>
      <c r="O51" s="519">
        <v>177.31</v>
      </c>
      <c r="P51" s="563"/>
      <c r="Q51" s="573"/>
    </row>
    <row r="52" spans="1:18" s="391" customFormat="1" ht="117.75" customHeight="1">
      <c r="A52" s="441"/>
      <c r="B52" s="420"/>
      <c r="C52" s="420"/>
      <c r="D52" s="420"/>
      <c r="E52" s="420"/>
      <c r="F52" s="420"/>
      <c r="G52" s="420"/>
      <c r="H52" s="420"/>
      <c r="I52" s="420"/>
      <c r="J52" s="420"/>
      <c r="K52" s="420"/>
      <c r="L52" s="439" t="s">
        <v>443</v>
      </c>
      <c r="M52" s="442">
        <f>20902.69+77.99+6.7+408.7+893.73+1030.36+7.39+187.57+368.06</f>
        <v>23883.190000000002</v>
      </c>
      <c r="N52" s="746"/>
      <c r="O52" s="519">
        <f>31289.68+119.94+629.69+488.8+1897.45+11.48+15.41+277.81+586.16</f>
        <v>35316.420000000006</v>
      </c>
      <c r="P52" s="563"/>
      <c r="Q52" s="573"/>
    </row>
    <row r="53" spans="1:18" s="391" customFormat="1" ht="91.5" customHeight="1">
      <c r="A53" s="441"/>
      <c r="B53" s="420"/>
      <c r="C53" s="435"/>
      <c r="D53" s="435"/>
      <c r="E53" s="435"/>
      <c r="F53" s="436"/>
      <c r="G53" s="435"/>
      <c r="H53" s="435"/>
      <c r="I53" s="435"/>
      <c r="J53" s="436"/>
      <c r="K53" s="438"/>
      <c r="L53" s="439" t="s">
        <v>444</v>
      </c>
      <c r="M53" s="525">
        <f>29.75+247.5</f>
        <v>277.25</v>
      </c>
      <c r="N53" s="746"/>
      <c r="O53" s="519">
        <f>1783.35+16+23.06+185.34+44.97+33.11</f>
        <v>2085.83</v>
      </c>
      <c r="P53" s="563"/>
      <c r="Q53" s="573"/>
    </row>
    <row r="54" spans="1:18" s="391" customFormat="1" ht="91.5" customHeight="1">
      <c r="A54" s="441"/>
      <c r="B54" s="420"/>
      <c r="C54" s="435"/>
      <c r="D54" s="435"/>
      <c r="E54" s="435"/>
      <c r="F54" s="436"/>
      <c r="G54" s="435"/>
      <c r="H54" s="435"/>
      <c r="I54" s="435"/>
      <c r="J54" s="436"/>
      <c r="K54" s="445"/>
      <c r="L54" s="439" t="s">
        <v>466</v>
      </c>
      <c r="M54" s="529"/>
      <c r="N54" s="564"/>
      <c r="O54" s="519">
        <v>550</v>
      </c>
      <c r="P54" s="563"/>
      <c r="Q54" s="573"/>
    </row>
    <row r="55" spans="1:18" s="391" customFormat="1" ht="59.25" customHeight="1">
      <c r="A55" s="441"/>
      <c r="B55" s="420"/>
      <c r="C55" s="435"/>
      <c r="D55" s="435"/>
      <c r="E55" s="435"/>
      <c r="F55" s="436"/>
      <c r="G55" s="435"/>
      <c r="H55" s="435"/>
      <c r="I55" s="435"/>
      <c r="J55" s="436"/>
      <c r="K55" s="445"/>
      <c r="L55" s="598" t="s">
        <v>467</v>
      </c>
      <c r="M55" s="529"/>
      <c r="N55" s="564"/>
      <c r="O55" s="519">
        <v>400</v>
      </c>
      <c r="P55" s="563"/>
      <c r="Q55" s="573"/>
    </row>
    <row r="56" spans="1:18" s="391" customFormat="1" ht="174" customHeight="1">
      <c r="A56" s="441"/>
      <c r="B56" s="420"/>
      <c r="C56" s="435"/>
      <c r="D56" s="435"/>
      <c r="E56" s="435"/>
      <c r="F56" s="436"/>
      <c r="G56" s="435"/>
      <c r="H56" s="435"/>
      <c r="I56" s="435"/>
      <c r="J56" s="436"/>
      <c r="K56" s="445"/>
      <c r="L56" s="443" t="s">
        <v>453</v>
      </c>
      <c r="M56" s="529"/>
      <c r="N56" s="564"/>
      <c r="O56" s="519">
        <f>779.07+1739.23+1739.23+1739.23+1739.23</f>
        <v>7735.99</v>
      </c>
      <c r="P56" s="563"/>
      <c r="Q56" s="573"/>
    </row>
    <row r="57" spans="1:18" s="391" customFormat="1" ht="117.75" customHeight="1">
      <c r="A57" s="441"/>
      <c r="B57" s="420"/>
      <c r="C57" s="435"/>
      <c r="D57" s="435"/>
      <c r="E57" s="435"/>
      <c r="F57" s="436"/>
      <c r="G57" s="435"/>
      <c r="H57" s="435"/>
      <c r="I57" s="435"/>
      <c r="J57" s="436"/>
      <c r="K57" s="445"/>
      <c r="L57" s="601" t="s">
        <v>445</v>
      </c>
      <c r="M57" s="529"/>
      <c r="N57" s="564"/>
      <c r="O57" s="519">
        <f>39.48+39.08+3869.11</f>
        <v>3947.67</v>
      </c>
      <c r="P57" s="563"/>
      <c r="Q57" s="573"/>
    </row>
    <row r="58" spans="1:18" s="391" customFormat="1" ht="90.75" customHeight="1">
      <c r="A58" s="441"/>
      <c r="B58" s="420"/>
      <c r="C58" s="435"/>
      <c r="D58" s="435"/>
      <c r="E58" s="435"/>
      <c r="F58" s="436"/>
      <c r="G58" s="435"/>
      <c r="H58" s="435"/>
      <c r="I58" s="435"/>
      <c r="J58" s="436"/>
      <c r="K58" s="445"/>
      <c r="L58" s="443" t="s">
        <v>449</v>
      </c>
      <c r="M58" s="446">
        <f>94.7+94.7+94.7+284.1+94.7+94.7+94.7+94.7</f>
        <v>947.00000000000023</v>
      </c>
      <c r="N58" s="447"/>
      <c r="O58" s="519">
        <f>2526.2+25.5</f>
        <v>2551.6999999999998</v>
      </c>
      <c r="P58" s="563"/>
      <c r="Q58" s="573"/>
    </row>
    <row r="59" spans="1:18" s="391" customFormat="1" ht="125.25" customHeight="1">
      <c r="A59" s="576" t="s">
        <v>59</v>
      </c>
      <c r="B59" s="388" t="s">
        <v>1</v>
      </c>
      <c r="C59" s="549">
        <v>28409.599999999999</v>
      </c>
      <c r="D59" s="549">
        <v>84.1</v>
      </c>
      <c r="E59" s="549">
        <v>6837.5</v>
      </c>
      <c r="F59" s="547">
        <f>E59+D59+C59</f>
        <v>35331.199999999997</v>
      </c>
      <c r="G59" s="549">
        <v>27688.799999999999</v>
      </c>
      <c r="H59" s="549">
        <v>84.1</v>
      </c>
      <c r="I59" s="549">
        <v>6837.5</v>
      </c>
      <c r="J59" s="591">
        <f>I59+H59+G59</f>
        <v>34610.400000000001</v>
      </c>
      <c r="K59" s="574">
        <f>J59*100/F59</f>
        <v>97.959876822751568</v>
      </c>
      <c r="L59" s="388" t="s">
        <v>428</v>
      </c>
      <c r="M59" s="511">
        <f>10247+34.2+199.5+108+68.6+7.2+69.2</f>
        <v>10733.700000000003</v>
      </c>
      <c r="N59" s="740" t="e">
        <f>M59+#REF!+#REF!+M62+M63+#REF!</f>
        <v>#REF!</v>
      </c>
      <c r="O59" s="449">
        <f>17914.25+51.6+200.4+131.8+47.2+3.35+4.5+65.6</f>
        <v>18418.699999999997</v>
      </c>
      <c r="P59" s="747">
        <f>O59+O61+O62+O63+O64+O60</f>
        <v>34610.399999999994</v>
      </c>
      <c r="Q59" s="543">
        <f>J59-P59</f>
        <v>0</v>
      </c>
      <c r="R59" s="440"/>
    </row>
    <row r="60" spans="1:18" s="391" customFormat="1" ht="95.25" customHeight="1">
      <c r="A60" s="422"/>
      <c r="B60" s="420"/>
      <c r="C60" s="425"/>
      <c r="D60" s="425"/>
      <c r="E60" s="425"/>
      <c r="F60" s="419"/>
      <c r="G60" s="425"/>
      <c r="H60" s="425"/>
      <c r="I60" s="425"/>
      <c r="J60" s="418"/>
      <c r="K60" s="509"/>
      <c r="L60" s="602" t="s">
        <v>404</v>
      </c>
      <c r="M60" s="525"/>
      <c r="N60" s="741"/>
      <c r="O60" s="442">
        <v>15</v>
      </c>
      <c r="P60" s="748"/>
      <c r="Q60" s="450"/>
      <c r="R60" s="440"/>
    </row>
    <row r="61" spans="1:18" s="391" customFormat="1" ht="106.5" customHeight="1">
      <c r="A61" s="422"/>
      <c r="B61" s="420"/>
      <c r="C61" s="425"/>
      <c r="D61" s="425"/>
      <c r="E61" s="425"/>
      <c r="F61" s="419"/>
      <c r="G61" s="425"/>
      <c r="H61" s="425"/>
      <c r="I61" s="425"/>
      <c r="J61" s="418"/>
      <c r="K61" s="509"/>
      <c r="L61" s="602" t="s">
        <v>426</v>
      </c>
      <c r="M61" s="525"/>
      <c r="N61" s="741"/>
      <c r="O61" s="442">
        <f>185.02+814.63+84.68+70.44+25.36+8.58</f>
        <v>1188.7099999999998</v>
      </c>
      <c r="P61" s="748"/>
      <c r="Q61" s="450"/>
      <c r="R61" s="440"/>
    </row>
    <row r="62" spans="1:18" s="391" customFormat="1" ht="204" customHeight="1">
      <c r="A62" s="441"/>
      <c r="B62" s="420"/>
      <c r="C62" s="425"/>
      <c r="D62" s="425"/>
      <c r="E62" s="425"/>
      <c r="F62" s="419"/>
      <c r="G62" s="425"/>
      <c r="H62" s="425"/>
      <c r="I62" s="425"/>
      <c r="J62" s="418"/>
      <c r="K62" s="509"/>
      <c r="L62" s="603" t="s">
        <v>468</v>
      </c>
      <c r="M62" s="525">
        <f>47+45+154.4</f>
        <v>246.4</v>
      </c>
      <c r="N62" s="741"/>
      <c r="O62" s="525">
        <f>517.1+3.7+1+5+0.5+1+0.5+72+30+120+336.1</f>
        <v>1086.9000000000001</v>
      </c>
      <c r="P62" s="748"/>
      <c r="Q62" s="571"/>
    </row>
    <row r="63" spans="1:18" s="391" customFormat="1" ht="108" customHeight="1">
      <c r="A63" s="441"/>
      <c r="B63" s="420"/>
      <c r="C63" s="425"/>
      <c r="D63" s="425"/>
      <c r="E63" s="425"/>
      <c r="F63" s="419"/>
      <c r="G63" s="425"/>
      <c r="H63" s="425"/>
      <c r="I63" s="425"/>
      <c r="J63" s="418"/>
      <c r="K63" s="509"/>
      <c r="L63" s="603" t="s">
        <v>427</v>
      </c>
      <c r="M63" s="421">
        <v>4175.8999999999996</v>
      </c>
      <c r="N63" s="742"/>
      <c r="O63" s="525">
        <f>6523.92+54.28+250.53+95.96</f>
        <v>6924.69</v>
      </c>
      <c r="P63" s="748"/>
      <c r="Q63" s="573"/>
    </row>
    <row r="64" spans="1:18" s="391" customFormat="1" ht="222" customHeight="1">
      <c r="A64" s="451"/>
      <c r="B64" s="452"/>
      <c r="C64" s="508"/>
      <c r="D64" s="508"/>
      <c r="E64" s="508"/>
      <c r="F64" s="507"/>
      <c r="G64" s="425"/>
      <c r="H64" s="425"/>
      <c r="I64" s="425"/>
      <c r="J64" s="418"/>
      <c r="K64" s="575"/>
      <c r="L64" s="604" t="s">
        <v>366</v>
      </c>
      <c r="M64" s="529"/>
      <c r="N64" s="583"/>
      <c r="O64" s="421">
        <f>370+181.9+370+185+369.7+185.6+370+370+367.9+355.2+370+1175.4+370+370+185+1195.7+185</f>
        <v>6976.4</v>
      </c>
      <c r="P64" s="533"/>
      <c r="Q64" s="573"/>
    </row>
    <row r="65" spans="1:17" s="391" customFormat="1" ht="210.75" customHeight="1">
      <c r="A65" s="577" t="s">
        <v>60</v>
      </c>
      <c r="B65" s="452" t="s">
        <v>36</v>
      </c>
      <c r="C65" s="508">
        <v>1258.3</v>
      </c>
      <c r="D65" s="605"/>
      <c r="E65" s="606"/>
      <c r="F65" s="429">
        <f>E65+D65+C65</f>
        <v>1258.3</v>
      </c>
      <c r="G65" s="606">
        <v>1258.3</v>
      </c>
      <c r="H65" s="606"/>
      <c r="I65" s="606"/>
      <c r="J65" s="429">
        <f>I65+H65+G65</f>
        <v>1258.3</v>
      </c>
      <c r="K65" s="575">
        <f>J65*100/F65</f>
        <v>100</v>
      </c>
      <c r="L65" s="388" t="s">
        <v>469</v>
      </c>
      <c r="M65" s="454">
        <f>1.1+1+15.3+25.9+33.1+20+7.5+8+21.3+39.4+0.5+8.9</f>
        <v>182.00000000000003</v>
      </c>
      <c r="N65" s="390"/>
      <c r="O65" s="389">
        <f>33+66+32.5+20+12.48+92.92+13.44+24.96+82.5+429.44+7.4+4.2+79.84+6.6+1.68+6.46+2.2+74.68+8.28+171.3+30+21+37.42</f>
        <v>1258.3000000000002</v>
      </c>
      <c r="P65" s="571"/>
      <c r="Q65" s="573"/>
    </row>
    <row r="66" spans="1:17" s="391" customFormat="1" ht="321" customHeight="1">
      <c r="A66" s="512" t="s">
        <v>28</v>
      </c>
      <c r="B66" s="561" t="s">
        <v>83</v>
      </c>
      <c r="C66" s="547">
        <v>6935.3</v>
      </c>
      <c r="D66" s="547">
        <v>384.6</v>
      </c>
      <c r="E66" s="549"/>
      <c r="F66" s="591">
        <f>E66+D66+C66</f>
        <v>7319.9000000000005</v>
      </c>
      <c r="G66" s="547">
        <v>6635.6</v>
      </c>
      <c r="H66" s="547">
        <v>384.6</v>
      </c>
      <c r="I66" s="547"/>
      <c r="J66" s="547">
        <f>I66+H66+G66</f>
        <v>7020.2000000000007</v>
      </c>
      <c r="K66" s="574">
        <f>J66*100/F66</f>
        <v>95.905681771608911</v>
      </c>
      <c r="L66" s="388" t="s">
        <v>470</v>
      </c>
      <c r="M66" s="455">
        <f>3822.7+32.8+14+40.9</f>
        <v>3910.4</v>
      </c>
      <c r="N66" s="456"/>
      <c r="O66" s="511">
        <f>5994.4+435.1+392.5+198.2</f>
        <v>7020.2</v>
      </c>
      <c r="P66" s="570"/>
      <c r="Q66" s="558"/>
    </row>
    <row r="67" spans="1:17" s="391" customFormat="1" ht="78">
      <c r="A67" s="512" t="s">
        <v>29</v>
      </c>
      <c r="B67" s="457" t="s">
        <v>82</v>
      </c>
      <c r="C67" s="429">
        <f t="shared" ref="C67:J67" si="1">C68+C74+C85+C90+C93</f>
        <v>161183.99999999997</v>
      </c>
      <c r="D67" s="429">
        <f t="shared" si="1"/>
        <v>609.70000000000005</v>
      </c>
      <c r="E67" s="429">
        <f t="shared" si="1"/>
        <v>300.5</v>
      </c>
      <c r="F67" s="429">
        <f t="shared" si="1"/>
        <v>162094.19999999998</v>
      </c>
      <c r="G67" s="507">
        <f t="shared" si="1"/>
        <v>157829.9</v>
      </c>
      <c r="H67" s="507">
        <f t="shared" si="1"/>
        <v>520.79999999999995</v>
      </c>
      <c r="I67" s="507">
        <f t="shared" si="1"/>
        <v>300.5</v>
      </c>
      <c r="J67" s="507">
        <f t="shared" si="1"/>
        <v>158651.19999999998</v>
      </c>
      <c r="K67" s="575">
        <f>J67*100/F67</f>
        <v>97.875926467449176</v>
      </c>
      <c r="L67" s="452"/>
      <c r="M67" s="389"/>
      <c r="N67" s="390"/>
      <c r="O67" s="389"/>
      <c r="P67" s="571"/>
      <c r="Q67" s="573"/>
    </row>
    <row r="68" spans="1:17" s="391" customFormat="1" ht="238.5" customHeight="1">
      <c r="A68" s="749" t="s">
        <v>61</v>
      </c>
      <c r="B68" s="751" t="s">
        <v>3</v>
      </c>
      <c r="C68" s="753">
        <v>43523.1</v>
      </c>
      <c r="D68" s="753"/>
      <c r="E68" s="753"/>
      <c r="F68" s="738">
        <f>E68+D68+C68</f>
        <v>43523.1</v>
      </c>
      <c r="G68" s="723">
        <v>42815.9</v>
      </c>
      <c r="H68" s="723"/>
      <c r="I68" s="723"/>
      <c r="J68" s="725">
        <f>I68+H68+G68</f>
        <v>42815.9</v>
      </c>
      <c r="K68" s="727">
        <f>J68*100/F68</f>
        <v>98.375115743134103</v>
      </c>
      <c r="L68" s="431" t="s">
        <v>369</v>
      </c>
      <c r="M68" s="511">
        <f>10320.32+2957.91+31.2+3.5+63.39+1642.51+215.53+267.9+11.3+196.35+19.45+199+0.4+12.96+0.25+137.03</f>
        <v>16079</v>
      </c>
      <c r="N68" s="762" t="e">
        <f>M68+M69+#REF!+#REF!+#REF!</f>
        <v>#REF!</v>
      </c>
      <c r="O68" s="511">
        <f>17667.9+38.2+5596.1+125.3+2136.5+497.5+481.9+221.1+13.9+87+245.6+24.6+62.3+261.2+961.7</f>
        <v>28420.800000000003</v>
      </c>
      <c r="P68" s="572">
        <f>O68+O69+O70+O71+O72+O73</f>
        <v>42815.900000000009</v>
      </c>
      <c r="Q68" s="506">
        <f>J68-P68</f>
        <v>0</v>
      </c>
    </row>
    <row r="69" spans="1:17" s="391" customFormat="1" ht="409.6" customHeight="1">
      <c r="A69" s="750"/>
      <c r="B69" s="752"/>
      <c r="C69" s="754"/>
      <c r="D69" s="754"/>
      <c r="E69" s="754"/>
      <c r="F69" s="739"/>
      <c r="G69" s="724"/>
      <c r="H69" s="724"/>
      <c r="I69" s="724"/>
      <c r="J69" s="726"/>
      <c r="K69" s="761"/>
      <c r="L69" s="388" t="s">
        <v>373</v>
      </c>
      <c r="M69" s="524">
        <f>1.5+27.08+10+35.78+384.4+34.9+8.1+9.84+4.31+150+4+7+3+6.65+6.96+37.52+4.42+9.9+17.92+3+10.45+25+10.39</f>
        <v>812.11999999999989</v>
      </c>
      <c r="N69" s="746"/>
      <c r="O69" s="421">
        <f>7+5.98+30+37.21+55.13+5+4.16+131+3+52.47+156.9+168+12.96+2987.2+22.87+1.91+26.13+3+3+4.35+3.42+6.34+27.25+4.2+2+3+1.88+15+3+3.8+39.94+1.3+51.28+29.13+60.6+6.9+9.94+3.26+19+168+5+14.84+2.78+150.3+187.8+62.5+5.55+78.9+2.62+52+433.88+392.04+62.85+65.44+15.18+31.84+54.9+10+34.66+34+17+1691.94+35.32+15.8+17.96+45.86+40.91+215+234.59+36.23+13.27+17.65+10+1742.32+158.75+307.44</f>
        <v>10473.630000000001</v>
      </c>
      <c r="P69" s="559"/>
      <c r="Q69" s="568"/>
    </row>
    <row r="70" spans="1:17" s="391" customFormat="1" ht="293.25" customHeight="1">
      <c r="A70" s="422"/>
      <c r="B70" s="551"/>
      <c r="C70" s="435"/>
      <c r="D70" s="435"/>
      <c r="E70" s="435"/>
      <c r="F70" s="436"/>
      <c r="G70" s="552"/>
      <c r="H70" s="552"/>
      <c r="I70" s="552"/>
      <c r="J70" s="553"/>
      <c r="K70" s="509"/>
      <c r="L70" s="607" t="s">
        <v>370</v>
      </c>
      <c r="M70" s="524"/>
      <c r="N70" s="564"/>
      <c r="O70" s="525"/>
      <c r="P70" s="563"/>
      <c r="Q70" s="568"/>
    </row>
    <row r="71" spans="1:17" s="391" customFormat="1" ht="79.5" customHeight="1">
      <c r="A71" s="422"/>
      <c r="B71" s="551"/>
      <c r="C71" s="435"/>
      <c r="D71" s="435"/>
      <c r="E71" s="435"/>
      <c r="F71" s="436"/>
      <c r="G71" s="552"/>
      <c r="H71" s="552"/>
      <c r="I71" s="552"/>
      <c r="J71" s="553"/>
      <c r="K71" s="509"/>
      <c r="L71" s="607" t="s">
        <v>374</v>
      </c>
      <c r="M71" s="524"/>
      <c r="N71" s="564"/>
      <c r="O71" s="525">
        <v>271.39999999999998</v>
      </c>
      <c r="P71" s="563"/>
      <c r="Q71" s="568"/>
    </row>
    <row r="72" spans="1:17" s="391" customFormat="1" ht="79.5" customHeight="1">
      <c r="A72" s="422"/>
      <c r="B72" s="551"/>
      <c r="C72" s="435"/>
      <c r="D72" s="435"/>
      <c r="E72" s="435"/>
      <c r="F72" s="436"/>
      <c r="G72" s="552"/>
      <c r="H72" s="552"/>
      <c r="I72" s="552"/>
      <c r="J72" s="553"/>
      <c r="K72" s="509"/>
      <c r="L72" s="566" t="s">
        <v>371</v>
      </c>
      <c r="M72" s="524"/>
      <c r="N72" s="564"/>
      <c r="O72" s="525">
        <f>280.84+164.4+56.23+68.69+81.31</f>
        <v>651.47</v>
      </c>
      <c r="P72" s="563"/>
      <c r="Q72" s="568"/>
    </row>
    <row r="73" spans="1:17" s="391" customFormat="1" ht="109.5" customHeight="1">
      <c r="A73" s="422"/>
      <c r="B73" s="551"/>
      <c r="C73" s="435"/>
      <c r="D73" s="435"/>
      <c r="E73" s="435"/>
      <c r="F73" s="436"/>
      <c r="G73" s="552"/>
      <c r="H73" s="552"/>
      <c r="I73" s="552"/>
      <c r="J73" s="553"/>
      <c r="K73" s="509"/>
      <c r="L73" s="566" t="s">
        <v>372</v>
      </c>
      <c r="M73" s="524"/>
      <c r="N73" s="564"/>
      <c r="O73" s="442">
        <f>2538.3+150+157.3+153</f>
        <v>2998.6000000000004</v>
      </c>
      <c r="P73" s="563"/>
      <c r="Q73" s="568"/>
    </row>
    <row r="74" spans="1:17" s="391" customFormat="1" ht="211.5" customHeight="1">
      <c r="A74" s="576" t="s">
        <v>62</v>
      </c>
      <c r="B74" s="578" t="s">
        <v>2</v>
      </c>
      <c r="C74" s="549">
        <v>52686.8</v>
      </c>
      <c r="D74" s="549">
        <v>548.1</v>
      </c>
      <c r="E74" s="549">
        <v>222</v>
      </c>
      <c r="F74" s="547">
        <f>E74+D74+C74</f>
        <v>53456.9</v>
      </c>
      <c r="G74" s="549">
        <v>51901.2</v>
      </c>
      <c r="H74" s="549">
        <v>459.2</v>
      </c>
      <c r="I74" s="549">
        <v>222</v>
      </c>
      <c r="J74" s="547">
        <f>G74+I74+H74</f>
        <v>52582.399999999994</v>
      </c>
      <c r="K74" s="574">
        <f>J74*100/F74</f>
        <v>98.364102669627286</v>
      </c>
      <c r="L74" s="565" t="s">
        <v>378</v>
      </c>
      <c r="M74" s="511">
        <f>17176.33+4967.85+144.27+916.2+165.06+77.19+95.4+9.45+79.96+1.72+229.17</f>
        <v>23862.600000000002</v>
      </c>
      <c r="N74" s="763">
        <f>SUM(M74:M80)</f>
        <v>31436.95</v>
      </c>
      <c r="O74" s="511">
        <f>24408+90.73+7798.61+245.97+40.35+1153.77+259.84+454.01+400.69+914.91+70.1+104.2+3.5+1574.6</f>
        <v>37519.279999999999</v>
      </c>
      <c r="P74" s="542">
        <f>O74+O75+O76+O77+O78+O79+O80+O82+O83+O84</f>
        <v>52582.399999999987</v>
      </c>
      <c r="Q74" s="506">
        <f>J74-P74</f>
        <v>0</v>
      </c>
    </row>
    <row r="75" spans="1:17" s="391" customFormat="1" ht="230.25" customHeight="1">
      <c r="A75" s="422"/>
      <c r="B75" s="459"/>
      <c r="C75" s="425"/>
      <c r="D75" s="425"/>
      <c r="E75" s="425"/>
      <c r="F75" s="419"/>
      <c r="G75" s="425"/>
      <c r="H75" s="425"/>
      <c r="I75" s="425"/>
      <c r="J75" s="419"/>
      <c r="K75" s="509"/>
      <c r="L75" s="566" t="s">
        <v>379</v>
      </c>
      <c r="M75" s="525">
        <f>26.5+31.34+50+9.37+30+524.58+0.83+234.4+7.3+91.5+93.9+77.8+4.08+4.59+200+39.99+35.96+14.71+11.97+117.28</f>
        <v>1606.1</v>
      </c>
      <c r="N75" s="764"/>
      <c r="O75" s="525">
        <f>11.94+60+39.72+33.8+56.7+115.93+32.13+200+796.3+30+42+80.76+218.22+302.15+17.66+13.96+971.83+69.22+306.79+15+21.3+174.21+379.75+474.62+6.71</f>
        <v>4470.7</v>
      </c>
      <c r="P75" s="563"/>
      <c r="Q75" s="573"/>
    </row>
    <row r="76" spans="1:17" s="391" customFormat="1" ht="81" customHeight="1">
      <c r="A76" s="422"/>
      <c r="B76" s="459"/>
      <c r="C76" s="425"/>
      <c r="D76" s="425"/>
      <c r="E76" s="425"/>
      <c r="F76" s="419"/>
      <c r="G76" s="425"/>
      <c r="H76" s="425"/>
      <c r="I76" s="425"/>
      <c r="J76" s="419"/>
      <c r="K76" s="509"/>
      <c r="L76" s="608" t="s">
        <v>375</v>
      </c>
      <c r="M76" s="525"/>
      <c r="N76" s="764"/>
      <c r="O76" s="525">
        <v>140.02000000000001</v>
      </c>
      <c r="P76" s="563"/>
      <c r="Q76" s="573"/>
    </row>
    <row r="77" spans="1:17" s="391" customFormat="1" ht="78.75" customHeight="1">
      <c r="A77" s="422"/>
      <c r="B77" s="459"/>
      <c r="C77" s="425"/>
      <c r="D77" s="425"/>
      <c r="E77" s="425"/>
      <c r="F77" s="419"/>
      <c r="G77" s="425"/>
      <c r="H77" s="425"/>
      <c r="I77" s="425"/>
      <c r="J77" s="419"/>
      <c r="K77" s="509"/>
      <c r="L77" s="566" t="s">
        <v>489</v>
      </c>
      <c r="M77" s="525">
        <f>6.79+332.5</f>
        <v>339.29</v>
      </c>
      <c r="N77" s="764"/>
      <c r="O77" s="525">
        <f>10.89+444.6</f>
        <v>455.49</v>
      </c>
      <c r="P77" s="563"/>
      <c r="Q77" s="573"/>
    </row>
    <row r="78" spans="1:17" s="391" customFormat="1" ht="78.75" customHeight="1">
      <c r="A78" s="422"/>
      <c r="B78" s="459"/>
      <c r="C78" s="425"/>
      <c r="D78" s="425"/>
      <c r="E78" s="425"/>
      <c r="F78" s="419"/>
      <c r="G78" s="425"/>
      <c r="H78" s="425"/>
      <c r="I78" s="425"/>
      <c r="J78" s="419"/>
      <c r="K78" s="509"/>
      <c r="L78" s="608" t="s">
        <v>490</v>
      </c>
      <c r="M78" s="525"/>
      <c r="N78" s="764"/>
      <c r="O78" s="525">
        <f>2.77+13.6+122</f>
        <v>138.37</v>
      </c>
      <c r="P78" s="563"/>
      <c r="Q78" s="573"/>
    </row>
    <row r="79" spans="1:17" s="391" customFormat="1" ht="201.75" customHeight="1">
      <c r="A79" s="422"/>
      <c r="B79" s="459"/>
      <c r="C79" s="425"/>
      <c r="D79" s="425"/>
      <c r="E79" s="425"/>
      <c r="F79" s="419"/>
      <c r="G79" s="425"/>
      <c r="H79" s="425"/>
      <c r="I79" s="425"/>
      <c r="J79" s="419"/>
      <c r="K79" s="509"/>
      <c r="L79" s="566" t="s">
        <v>376</v>
      </c>
      <c r="M79" s="525">
        <f>1835.14+527.19+26.66+204.47+102.85+134.34+113.93+144.55+19.09+28.5+12.89+0.09+4.37+24.43+1.13</f>
        <v>3179.6299999999997</v>
      </c>
      <c r="N79" s="764"/>
      <c r="O79" s="525">
        <f>2919.08+7+916.13+257.58+312.57+170.63+311.38+26.5+28.5+273.43+114.74+40.71+21.49+189.83</f>
        <v>5589.57</v>
      </c>
      <c r="P79" s="563"/>
      <c r="Q79" s="573"/>
    </row>
    <row r="80" spans="1:17" s="391" customFormat="1" ht="398.25" customHeight="1">
      <c r="A80" s="422"/>
      <c r="B80" s="459"/>
      <c r="C80" s="425"/>
      <c r="D80" s="425"/>
      <c r="E80" s="425"/>
      <c r="F80" s="419"/>
      <c r="G80" s="425"/>
      <c r="H80" s="425"/>
      <c r="I80" s="425"/>
      <c r="J80" s="419"/>
      <c r="K80" s="509"/>
      <c r="L80" s="566" t="s">
        <v>471</v>
      </c>
      <c r="M80" s="524">
        <f>3.46+13+2.4+20+4.5+11+50+5.1+10.5+2.1+500+220+32.66+8.85+25+2+22+22+5.4+24.6+8.4+17.03+27.61+1299.96+4.9+23.2+8+5.21+10.6+9.25+50.6</f>
        <v>2449.3299999999995</v>
      </c>
      <c r="N80" s="764"/>
      <c r="O80" s="421">
        <f>3.2+3.5+13+4+10+3+300+150+9.13+18+6+13+588.74+10+59.34+7+2+2+5+4+5+131.1+2.52+24.98+603.05+15.04+4.8+78.46+9.39+7+1.52+2.66+10+10+217+4+4+2+5+8+3+4+7.5+7+5+10+6.02+15+14+100+56.72+109+300+180+200+260+30+8+7+13+4+19.87+5+7+33.66</f>
        <v>3761.1999999999989</v>
      </c>
      <c r="P80" s="559"/>
      <c r="Q80" s="568"/>
    </row>
    <row r="81" spans="1:19" s="391" customFormat="1" ht="70.5" customHeight="1">
      <c r="A81" s="422"/>
      <c r="B81" s="459"/>
      <c r="C81" s="425"/>
      <c r="D81" s="425"/>
      <c r="E81" s="425"/>
      <c r="F81" s="419"/>
      <c r="G81" s="425"/>
      <c r="H81" s="425"/>
      <c r="I81" s="425"/>
      <c r="J81" s="419"/>
      <c r="K81" s="509"/>
      <c r="L81" s="607" t="s">
        <v>472</v>
      </c>
      <c r="M81" s="524"/>
      <c r="N81" s="567"/>
      <c r="O81" s="525"/>
      <c r="P81" s="563"/>
      <c r="Q81" s="568"/>
    </row>
    <row r="82" spans="1:19" s="391" customFormat="1" ht="126" customHeight="1">
      <c r="A82" s="422"/>
      <c r="B82" s="459"/>
      <c r="C82" s="425"/>
      <c r="D82" s="425"/>
      <c r="E82" s="425"/>
      <c r="F82" s="419"/>
      <c r="G82" s="425"/>
      <c r="H82" s="425"/>
      <c r="I82" s="425"/>
      <c r="J82" s="419"/>
      <c r="K82" s="509"/>
      <c r="L82" s="566" t="s">
        <v>377</v>
      </c>
      <c r="M82" s="524"/>
      <c r="N82" s="567"/>
      <c r="O82" s="525">
        <f>35.95+77+92.5+35.64+34.72</f>
        <v>275.80999999999995</v>
      </c>
      <c r="P82" s="563"/>
      <c r="Q82" s="568"/>
    </row>
    <row r="83" spans="1:19" s="391" customFormat="1" ht="98.25" customHeight="1">
      <c r="A83" s="422"/>
      <c r="B83" s="459"/>
      <c r="C83" s="425"/>
      <c r="D83" s="425"/>
      <c r="E83" s="425"/>
      <c r="F83" s="419"/>
      <c r="G83" s="425"/>
      <c r="H83" s="425"/>
      <c r="I83" s="425"/>
      <c r="J83" s="419"/>
      <c r="K83" s="509"/>
      <c r="L83" s="608" t="s">
        <v>492</v>
      </c>
      <c r="M83" s="524"/>
      <c r="N83" s="567"/>
      <c r="O83" s="525">
        <f>2.06+1+100</f>
        <v>103.06</v>
      </c>
      <c r="P83" s="563"/>
      <c r="Q83" s="568"/>
    </row>
    <row r="84" spans="1:19" s="391" customFormat="1" ht="98.25" customHeight="1">
      <c r="A84" s="422"/>
      <c r="B84" s="459"/>
      <c r="C84" s="425"/>
      <c r="D84" s="425"/>
      <c r="E84" s="425"/>
      <c r="F84" s="419"/>
      <c r="G84" s="425"/>
      <c r="H84" s="425"/>
      <c r="I84" s="425"/>
      <c r="J84" s="419"/>
      <c r="K84" s="509"/>
      <c r="L84" s="608" t="s">
        <v>491</v>
      </c>
      <c r="M84" s="524"/>
      <c r="N84" s="567"/>
      <c r="O84" s="525">
        <v>128.9</v>
      </c>
      <c r="P84" s="563"/>
      <c r="Q84" s="568"/>
    </row>
    <row r="85" spans="1:19" s="391" customFormat="1" ht="176.25" customHeight="1">
      <c r="A85" s="576" t="s">
        <v>63</v>
      </c>
      <c r="B85" s="460" t="s">
        <v>4</v>
      </c>
      <c r="C85" s="549">
        <v>25273</v>
      </c>
      <c r="D85" s="549">
        <v>61.6</v>
      </c>
      <c r="E85" s="549"/>
      <c r="F85" s="547">
        <f>E85+D85+C85</f>
        <v>25334.6</v>
      </c>
      <c r="G85" s="549">
        <v>24981.200000000001</v>
      </c>
      <c r="H85" s="549">
        <v>61.6</v>
      </c>
      <c r="I85" s="549"/>
      <c r="J85" s="547">
        <f>G85+H85+I85</f>
        <v>25042.799999999999</v>
      </c>
      <c r="K85" s="574">
        <f>J85/F85*100</f>
        <v>98.848215483962647</v>
      </c>
      <c r="L85" s="609" t="s">
        <v>487</v>
      </c>
      <c r="M85" s="511">
        <v>342.5</v>
      </c>
      <c r="N85" s="763">
        <f>M85+M88+M89</f>
        <v>1366</v>
      </c>
      <c r="O85" s="449">
        <f>12537.23+10.6+3+3962.41+15.1+781.75+218.56+285.2+4.2+25.61+1700.74+6.6+548.1</f>
        <v>20099.099999999999</v>
      </c>
      <c r="P85" s="558">
        <f>O85+O86+O87+O88+O89</f>
        <v>25042.799999999996</v>
      </c>
      <c r="Q85" s="571">
        <f>J85-P85</f>
        <v>0</v>
      </c>
      <c r="R85" s="461">
        <f>J85-Q85</f>
        <v>25042.799999999999</v>
      </c>
    </row>
    <row r="86" spans="1:19" s="391" customFormat="1" ht="100.5" customHeight="1">
      <c r="A86" s="422"/>
      <c r="B86" s="462"/>
      <c r="C86" s="425"/>
      <c r="D86" s="425"/>
      <c r="E86" s="425"/>
      <c r="F86" s="419"/>
      <c r="G86" s="425"/>
      <c r="H86" s="425"/>
      <c r="I86" s="425"/>
      <c r="J86" s="419"/>
      <c r="K86" s="509"/>
      <c r="L86" s="426" t="s">
        <v>380</v>
      </c>
      <c r="M86" s="525"/>
      <c r="N86" s="764"/>
      <c r="O86" s="442">
        <v>61.6</v>
      </c>
      <c r="P86" s="563"/>
      <c r="Q86" s="571"/>
      <c r="R86" s="461"/>
    </row>
    <row r="87" spans="1:19" s="391" customFormat="1" ht="155.25" customHeight="1">
      <c r="A87" s="422"/>
      <c r="B87" s="462"/>
      <c r="C87" s="425"/>
      <c r="D87" s="425"/>
      <c r="E87" s="425"/>
      <c r="F87" s="419"/>
      <c r="G87" s="425"/>
      <c r="H87" s="425"/>
      <c r="I87" s="425"/>
      <c r="J87" s="419"/>
      <c r="K87" s="509"/>
      <c r="L87" s="420" t="s">
        <v>486</v>
      </c>
      <c r="M87" s="525"/>
      <c r="N87" s="764"/>
      <c r="O87" s="525">
        <f>211+34.54+93.15+500+11.53+340.61+1455.45</f>
        <v>2646.2799999999997</v>
      </c>
      <c r="P87" s="563"/>
      <c r="Q87" s="573"/>
      <c r="R87" s="461"/>
    </row>
    <row r="88" spans="1:19" s="391" customFormat="1" ht="409.5" customHeight="1">
      <c r="A88" s="422"/>
      <c r="B88" s="462"/>
      <c r="C88" s="425"/>
      <c r="D88" s="425"/>
      <c r="E88" s="425"/>
      <c r="F88" s="419"/>
      <c r="G88" s="425"/>
      <c r="H88" s="425"/>
      <c r="I88" s="425"/>
      <c r="J88" s="419"/>
      <c r="K88" s="509"/>
      <c r="L88" s="607" t="s">
        <v>473</v>
      </c>
      <c r="M88" s="525">
        <f>10+15.25+20+7+113.65+24.6+7+6.1+30+3+7.2+6.1+11.19+3+6+15+3+7.72+15+5.6+96+33.16+109+4.23+10</f>
        <v>568.80000000000007</v>
      </c>
      <c r="N88" s="764"/>
      <c r="O88" s="442">
        <f>8.64+25+10+10+29.92+110+10+31.99+44.54+152.64+23.65+4.95+4.84+148.23+6.58+0.36+27.71+166.35+50.85+128.29+117+4+3.6+7+2.25+10.76+6.78+15+15+13.6+8.67+2.4+2+2.8+1.53+16+17+3+11.34+17.54+102.1+8.6+201.21+45</f>
        <v>1628.7199999999996</v>
      </c>
      <c r="P88" s="442"/>
      <c r="Q88" s="573"/>
    </row>
    <row r="89" spans="1:19" s="391" customFormat="1" ht="213.75" customHeight="1">
      <c r="A89" s="422"/>
      <c r="B89" s="462"/>
      <c r="C89" s="425"/>
      <c r="D89" s="425"/>
      <c r="E89" s="425"/>
      <c r="F89" s="419"/>
      <c r="G89" s="425"/>
      <c r="H89" s="425"/>
      <c r="I89" s="425"/>
      <c r="J89" s="419"/>
      <c r="K89" s="509"/>
      <c r="L89" s="426" t="s">
        <v>488</v>
      </c>
      <c r="M89" s="421">
        <f>10.5+49.69+121+128.33+10.31+25+35.9+14+25.97+30+4</f>
        <v>454.69999999999993</v>
      </c>
      <c r="N89" s="765"/>
      <c r="O89" s="421">
        <f>30.7+264.14+42.65+15+48.9+39.89+10.1+48.89+37.65+7.48+8.1+7+7.6+30+9</f>
        <v>607.1</v>
      </c>
      <c r="P89" s="559"/>
      <c r="Q89" s="573"/>
    </row>
    <row r="90" spans="1:19" s="391" customFormat="1" ht="177.75" customHeight="1">
      <c r="A90" s="576" t="s">
        <v>64</v>
      </c>
      <c r="B90" s="463" t="s">
        <v>38</v>
      </c>
      <c r="C90" s="549">
        <v>36445.699999999997</v>
      </c>
      <c r="D90" s="549"/>
      <c r="E90" s="549">
        <v>78.5</v>
      </c>
      <c r="F90" s="547">
        <f>E90+D90+C90</f>
        <v>36524.199999999997</v>
      </c>
      <c r="G90" s="549">
        <v>34882.199999999997</v>
      </c>
      <c r="H90" s="549"/>
      <c r="I90" s="549">
        <v>78.5</v>
      </c>
      <c r="J90" s="547">
        <f>I90+H90+G90</f>
        <v>34960.699999999997</v>
      </c>
      <c r="K90" s="574">
        <f>J90*100/F90</f>
        <v>95.719276534462082</v>
      </c>
      <c r="L90" s="388" t="s">
        <v>474</v>
      </c>
      <c r="M90" s="464">
        <f>3961.47+1099.01+16.81+7.7+268.76+8+3.5</f>
        <v>5365.25</v>
      </c>
      <c r="N90" s="763">
        <f>M90+M91</f>
        <v>22512.099999999995</v>
      </c>
      <c r="O90" s="511">
        <f>5135.8+2.42+0.5+1.3+1564.1+42.16+20.6+365.36+103.27+69.7+0.29</f>
        <v>7305.5000000000009</v>
      </c>
      <c r="P90" s="766">
        <f>O90+O91+O92</f>
        <v>34960.700000000004</v>
      </c>
      <c r="Q90" s="759">
        <f>J90-P90</f>
        <v>0</v>
      </c>
    </row>
    <row r="91" spans="1:19" s="391" customFormat="1" ht="178.5" customHeight="1">
      <c r="A91" s="577"/>
      <c r="B91" s="465"/>
      <c r="C91" s="508"/>
      <c r="D91" s="508"/>
      <c r="E91" s="508"/>
      <c r="F91" s="507"/>
      <c r="G91" s="508"/>
      <c r="H91" s="508"/>
      <c r="I91" s="508"/>
      <c r="J91" s="507"/>
      <c r="K91" s="575"/>
      <c r="L91" s="452" t="s">
        <v>382</v>
      </c>
      <c r="M91" s="446">
        <f>12954.75+3628.12+59.06+114.09+161.69+8.42+185.54+5.76+3.73+25.69</f>
        <v>17146.849999999995</v>
      </c>
      <c r="N91" s="765"/>
      <c r="O91" s="525">
        <f>20304.6+30.29+6045.4+79.42+71.28+391.13+9.26+8.4+305.57+327.81+3.54</f>
        <v>27576.7</v>
      </c>
      <c r="P91" s="767"/>
      <c r="Q91" s="759"/>
    </row>
    <row r="92" spans="1:19" s="391" customFormat="1" ht="126" customHeight="1">
      <c r="A92" s="422"/>
      <c r="B92" s="462"/>
      <c r="C92" s="425"/>
      <c r="D92" s="425"/>
      <c r="E92" s="425"/>
      <c r="F92" s="419"/>
      <c r="G92" s="425"/>
      <c r="H92" s="425"/>
      <c r="I92" s="425"/>
      <c r="J92" s="419"/>
      <c r="K92" s="509"/>
      <c r="L92" s="420" t="s">
        <v>381</v>
      </c>
      <c r="M92" s="529"/>
      <c r="N92" s="531"/>
      <c r="O92" s="421">
        <v>78.5</v>
      </c>
      <c r="P92" s="768"/>
      <c r="Q92" s="571"/>
    </row>
    <row r="93" spans="1:19" s="391" customFormat="1" ht="164.25" customHeight="1">
      <c r="A93" s="422" t="s">
        <v>65</v>
      </c>
      <c r="B93" s="462" t="s">
        <v>6</v>
      </c>
      <c r="C93" s="425">
        <v>3255.4</v>
      </c>
      <c r="D93" s="425"/>
      <c r="E93" s="419"/>
      <c r="F93" s="419">
        <f>E93+D93+C93</f>
        <v>3255.4</v>
      </c>
      <c r="G93" s="425">
        <v>3249.4</v>
      </c>
      <c r="H93" s="425"/>
      <c r="I93" s="425"/>
      <c r="J93" s="419">
        <f>I93+H93+G93</f>
        <v>3249.4</v>
      </c>
      <c r="K93" s="509">
        <f>J93*100/F93</f>
        <v>99.815690852122628</v>
      </c>
      <c r="L93" s="420" t="s">
        <v>383</v>
      </c>
      <c r="M93" s="511">
        <f>957.78+275.7+12.5+2.4+20+4.1+28.1+24.82</f>
        <v>1325.3999999999999</v>
      </c>
      <c r="N93" s="755">
        <f>M93+M94</f>
        <v>1616.3999999999999</v>
      </c>
      <c r="O93" s="449">
        <f>1626.35+2.92+494.96+23.12+9+38.5+15+0.56+114.73</f>
        <v>2325.14</v>
      </c>
      <c r="P93" s="757">
        <f>O93+O94</f>
        <v>3249.3999999999996</v>
      </c>
      <c r="Q93" s="759">
        <f>J93-P93</f>
        <v>0</v>
      </c>
      <c r="R93" s="532">
        <f>758.5+193.4+4.3+15+29.3+0.3+8.6+162</f>
        <v>1171.3999999999999</v>
      </c>
    </row>
    <row r="94" spans="1:19" s="391" customFormat="1" ht="210" customHeight="1">
      <c r="A94" s="577"/>
      <c r="B94" s="466"/>
      <c r="C94" s="508"/>
      <c r="D94" s="467"/>
      <c r="E94" s="615"/>
      <c r="F94" s="507"/>
      <c r="G94" s="508"/>
      <c r="H94" s="508"/>
      <c r="I94" s="508"/>
      <c r="J94" s="507"/>
      <c r="K94" s="575"/>
      <c r="L94" s="452" t="s">
        <v>475</v>
      </c>
      <c r="M94" s="421">
        <f>14+2.4+54.98+38.74+28.8+11.2+50+31.8+37+21+1+0.08</f>
        <v>291</v>
      </c>
      <c r="N94" s="756"/>
      <c r="O94" s="478">
        <f>3+12.5+99+31+5+176+50+53.7+52.22+23+50.86+58+30.68+30.73+28.32+0.54+20+88.46+22.15+37.1+52</f>
        <v>924.26</v>
      </c>
      <c r="P94" s="758"/>
      <c r="Q94" s="760"/>
    </row>
    <row r="95" spans="1:19" s="391" customFormat="1" ht="395.25" customHeight="1">
      <c r="A95" s="512" t="s">
        <v>31</v>
      </c>
      <c r="B95" s="469" t="s">
        <v>72</v>
      </c>
      <c r="C95" s="547">
        <v>74680.7</v>
      </c>
      <c r="D95" s="547">
        <v>1409</v>
      </c>
      <c r="E95" s="614"/>
      <c r="F95" s="547">
        <f>E95+D95+C95</f>
        <v>76089.7</v>
      </c>
      <c r="G95" s="547">
        <v>71789.600000000006</v>
      </c>
      <c r="H95" s="550">
        <v>1408.6</v>
      </c>
      <c r="I95" s="547"/>
      <c r="J95" s="547">
        <f>I95+H95+G95</f>
        <v>73198.200000000012</v>
      </c>
      <c r="K95" s="574">
        <f>J95*100/F95</f>
        <v>96.199879878616969</v>
      </c>
      <c r="L95" s="609" t="s">
        <v>399</v>
      </c>
      <c r="M95" s="511">
        <f>9.5+8.4+6.5+9.05+13.64+6</f>
        <v>53.09</v>
      </c>
      <c r="N95" s="763" t="e">
        <f>M95+M97+#REF!+M101+M102+#REF!+M105+#REF!+#REF!</f>
        <v>#REF!</v>
      </c>
      <c r="O95" s="511">
        <f>7.57+8.2+8.1+8.6+8.94+41.51+8.9+3.9+11.01+72+31.87+9.62+27.06+7.1+25.82+7.77+8.71+5.04+6.2</f>
        <v>307.92</v>
      </c>
      <c r="P95" s="772">
        <f>O95+O96+O97+O98+O99+O100+O101+O102+O103+O104+O105+O106+O107</f>
        <v>73198.2</v>
      </c>
      <c r="Q95" s="515">
        <f>J95-P95</f>
        <v>0</v>
      </c>
      <c r="R95" s="571">
        <f>J95-P95</f>
        <v>0</v>
      </c>
      <c r="S95" s="470"/>
    </row>
    <row r="96" spans="1:19" s="391" customFormat="1" ht="147.75" customHeight="1">
      <c r="A96" s="416"/>
      <c r="B96" s="443"/>
      <c r="C96" s="419"/>
      <c r="D96" s="419"/>
      <c r="E96" s="419"/>
      <c r="F96" s="419"/>
      <c r="G96" s="419"/>
      <c r="H96" s="554"/>
      <c r="I96" s="419"/>
      <c r="J96" s="419"/>
      <c r="K96" s="509"/>
      <c r="L96" s="420" t="s">
        <v>392</v>
      </c>
      <c r="M96" s="525"/>
      <c r="N96" s="764"/>
      <c r="O96" s="525">
        <f>9.28+24.17+4.93+68.62+63.5+1.58</f>
        <v>172.08</v>
      </c>
      <c r="P96" s="773"/>
      <c r="Q96" s="515"/>
      <c r="R96" s="571"/>
      <c r="S96" s="470"/>
    </row>
    <row r="97" spans="1:17" s="391" customFormat="1" ht="270" customHeight="1">
      <c r="A97" s="416"/>
      <c r="B97" s="443"/>
      <c r="C97" s="419"/>
      <c r="D97" s="419"/>
      <c r="E97" s="425"/>
      <c r="F97" s="419"/>
      <c r="G97" s="419"/>
      <c r="H97" s="419"/>
      <c r="I97" s="419"/>
      <c r="J97" s="419"/>
      <c r="K97" s="509"/>
      <c r="L97" s="426" t="s">
        <v>396</v>
      </c>
      <c r="M97" s="525">
        <f>3039.83+865.66+4.9+60.7</f>
        <v>3971.0899999999997</v>
      </c>
      <c r="N97" s="764"/>
      <c r="O97" s="525">
        <f>27796.71+29.47+1.3+8799.2+0.1+28.35+909.09+481.09+404.22+71.3+115.21+400.37+172.48+5.23+83.23+1489.2</f>
        <v>40786.550000000003</v>
      </c>
      <c r="P97" s="773"/>
      <c r="Q97" s="573"/>
    </row>
    <row r="98" spans="1:17" s="391" customFormat="1" ht="95.25" customHeight="1">
      <c r="A98" s="416"/>
      <c r="B98" s="443"/>
      <c r="C98" s="419"/>
      <c r="D98" s="419"/>
      <c r="E98" s="425"/>
      <c r="F98" s="419"/>
      <c r="G98" s="419"/>
      <c r="H98" s="419"/>
      <c r="I98" s="419"/>
      <c r="J98" s="419"/>
      <c r="K98" s="509"/>
      <c r="L98" s="592" t="s">
        <v>393</v>
      </c>
      <c r="M98" s="525"/>
      <c r="N98" s="764"/>
      <c r="O98" s="525">
        <f>918.9+189.7</f>
        <v>1108.5999999999999</v>
      </c>
      <c r="P98" s="773"/>
      <c r="Q98" s="573"/>
    </row>
    <row r="99" spans="1:17" s="391" customFormat="1" ht="96" customHeight="1">
      <c r="A99" s="416"/>
      <c r="B99" s="443"/>
      <c r="C99" s="419"/>
      <c r="D99" s="419"/>
      <c r="E99" s="425"/>
      <c r="F99" s="419"/>
      <c r="G99" s="419"/>
      <c r="H99" s="419"/>
      <c r="I99" s="419"/>
      <c r="J99" s="419"/>
      <c r="K99" s="509"/>
      <c r="L99" s="426" t="s">
        <v>394</v>
      </c>
      <c r="M99" s="525"/>
      <c r="N99" s="764"/>
      <c r="O99" s="525">
        <f>18.75+3.87</f>
        <v>22.62</v>
      </c>
      <c r="P99" s="773"/>
      <c r="Q99" s="573"/>
    </row>
    <row r="100" spans="1:17" s="391" customFormat="1" ht="73.5" customHeight="1">
      <c r="A100" s="416"/>
      <c r="B100" s="443"/>
      <c r="C100" s="419"/>
      <c r="D100" s="419"/>
      <c r="E100" s="425"/>
      <c r="F100" s="419"/>
      <c r="G100" s="419"/>
      <c r="H100" s="419"/>
      <c r="I100" s="419"/>
      <c r="J100" s="419"/>
      <c r="K100" s="509"/>
      <c r="L100" s="592" t="s">
        <v>395</v>
      </c>
      <c r="M100" s="525"/>
      <c r="N100" s="764"/>
      <c r="O100" s="525">
        <f>355.5+1806.35+258.05</f>
        <v>2419.9</v>
      </c>
      <c r="P100" s="773"/>
      <c r="Q100" s="573"/>
    </row>
    <row r="101" spans="1:17" s="391" customFormat="1" ht="111" customHeight="1">
      <c r="A101" s="416"/>
      <c r="B101" s="443"/>
      <c r="C101" s="419"/>
      <c r="D101" s="419"/>
      <c r="E101" s="425"/>
      <c r="F101" s="419"/>
      <c r="G101" s="419"/>
      <c r="H101" s="419"/>
      <c r="I101" s="419"/>
      <c r="J101" s="419"/>
      <c r="K101" s="509"/>
      <c r="L101" s="426" t="s">
        <v>397</v>
      </c>
      <c r="M101" s="525">
        <f>100+22.7</f>
        <v>122.7</v>
      </c>
      <c r="N101" s="764"/>
      <c r="O101" s="525">
        <f>187+663+290</f>
        <v>1140</v>
      </c>
      <c r="P101" s="773"/>
      <c r="Q101" s="573"/>
    </row>
    <row r="102" spans="1:17" s="391" customFormat="1" ht="78.75" customHeight="1">
      <c r="A102" s="416"/>
      <c r="B102" s="443"/>
      <c r="C102" s="419"/>
      <c r="D102" s="419"/>
      <c r="E102" s="425"/>
      <c r="F102" s="419"/>
      <c r="G102" s="419"/>
      <c r="H102" s="419"/>
      <c r="I102" s="419"/>
      <c r="J102" s="419"/>
      <c r="K102" s="509"/>
      <c r="L102" s="426" t="s">
        <v>398</v>
      </c>
      <c r="M102" s="525">
        <f>47.67+1081.71+92.82</f>
        <v>1222.2</v>
      </c>
      <c r="N102" s="764"/>
      <c r="O102" s="525">
        <f>67.07+2921.44+4926.33</f>
        <v>7914.84</v>
      </c>
      <c r="P102" s="773"/>
      <c r="Q102" s="573"/>
    </row>
    <row r="103" spans="1:17" s="391" customFormat="1" ht="71.25" customHeight="1">
      <c r="A103" s="416"/>
      <c r="B103" s="443"/>
      <c r="C103" s="419"/>
      <c r="D103" s="419"/>
      <c r="E103" s="425"/>
      <c r="F103" s="419"/>
      <c r="G103" s="419"/>
      <c r="H103" s="419"/>
      <c r="I103" s="419"/>
      <c r="J103" s="419"/>
      <c r="K103" s="509"/>
      <c r="L103" s="592" t="s">
        <v>401</v>
      </c>
      <c r="M103" s="525"/>
      <c r="N103" s="764"/>
      <c r="O103" s="525">
        <v>306.10000000000002</v>
      </c>
      <c r="P103" s="773"/>
      <c r="Q103" s="573"/>
    </row>
    <row r="104" spans="1:17" s="391" customFormat="1" ht="213.75" customHeight="1">
      <c r="A104" s="416"/>
      <c r="B104" s="443"/>
      <c r="C104" s="419"/>
      <c r="D104" s="419"/>
      <c r="E104" s="425"/>
      <c r="F104" s="419"/>
      <c r="G104" s="419"/>
      <c r="H104" s="419"/>
      <c r="I104" s="419"/>
      <c r="J104" s="419"/>
      <c r="K104" s="509"/>
      <c r="L104" s="592" t="s">
        <v>400</v>
      </c>
      <c r="M104" s="525"/>
      <c r="N104" s="764"/>
      <c r="O104" s="525">
        <f>9783.94+8.66+1.3+0.1+3253.84+37.59+876.95+70.25+270.98+1.5+609.73+165.83+919.08+1174.64</f>
        <v>17174.39</v>
      </c>
      <c r="P104" s="773"/>
      <c r="Q104" s="573"/>
    </row>
    <row r="105" spans="1:17" s="391" customFormat="1" ht="374.25" customHeight="1">
      <c r="A105" s="441"/>
      <c r="B105" s="443"/>
      <c r="C105" s="419"/>
      <c r="D105" s="419"/>
      <c r="E105" s="425"/>
      <c r="F105" s="419"/>
      <c r="G105" s="419"/>
      <c r="H105" s="419"/>
      <c r="I105" s="419"/>
      <c r="J105" s="419"/>
      <c r="K105" s="509"/>
      <c r="L105" s="420" t="s">
        <v>476</v>
      </c>
      <c r="M105" s="525">
        <f>12+4.56+14.5+30+25.35+9.45+21.76+12.97+8.16+10.29+4.14+8.5+4.05+12.15+6.4</f>
        <v>184.28</v>
      </c>
      <c r="N105" s="764"/>
      <c r="O105" s="421">
        <f>18.7+6.21+12.65+7.35+11.46+6.99+10.38+40+6.43+3.92+3.8+7.68+2.34+50+21.6+56+3+3.69+60+20+13.5+29.46+3.46+2.85+7.2+57.78+125+13.5+15.93+5.24</f>
        <v>626.11999999999989</v>
      </c>
      <c r="P105" s="774"/>
      <c r="Q105" s="573">
        <f>1845.2-O105-O106-O107</f>
        <v>0</v>
      </c>
    </row>
    <row r="106" spans="1:17" s="391" customFormat="1" ht="144" customHeight="1">
      <c r="A106" s="441"/>
      <c r="B106" s="443"/>
      <c r="C106" s="419"/>
      <c r="D106" s="419"/>
      <c r="E106" s="425"/>
      <c r="F106" s="419"/>
      <c r="G106" s="419"/>
      <c r="H106" s="419"/>
      <c r="I106" s="419"/>
      <c r="J106" s="419"/>
      <c r="K106" s="509"/>
      <c r="L106" s="420" t="s">
        <v>477</v>
      </c>
      <c r="M106" s="529"/>
      <c r="N106" s="531"/>
      <c r="O106" s="421">
        <f>14.25+12.15+13.59+3.69+2.58+42.87+5.6+9.03</f>
        <v>103.75999999999999</v>
      </c>
      <c r="P106" s="569"/>
      <c r="Q106" s="573"/>
    </row>
    <row r="107" spans="1:17" s="391" customFormat="1" ht="408.75" customHeight="1">
      <c r="A107" s="441"/>
      <c r="B107" s="443"/>
      <c r="C107" s="419"/>
      <c r="D107" s="419"/>
      <c r="E107" s="425"/>
      <c r="F107" s="419"/>
      <c r="G107" s="419"/>
      <c r="H107" s="419"/>
      <c r="I107" s="419"/>
      <c r="J107" s="419"/>
      <c r="K107" s="509"/>
      <c r="L107" s="420" t="s">
        <v>478</v>
      </c>
      <c r="M107" s="529"/>
      <c r="N107" s="531"/>
      <c r="O107" s="539">
        <f>25.3+120+133.7+41.6+102.98+7.47+3.92+8.55+1.95+14.04+6.49+28+112+1.95+14.1+1.58+4.88+3.74+1.95+3.12+3.12+6.54+60+4.43+4.7+37.94+15.8+13.9+11.3+12.28+10.81+1.78+6.71+128.2+14.65+8.5+43.5+93.84</f>
        <v>1115.32</v>
      </c>
      <c r="P107" s="540"/>
      <c r="Q107" s="573"/>
    </row>
    <row r="108" spans="1:17" s="391" customFormat="1" ht="71.25" customHeight="1">
      <c r="A108" s="505">
        <v>7</v>
      </c>
      <c r="B108" s="428" t="s">
        <v>73</v>
      </c>
      <c r="C108" s="429">
        <f t="shared" ref="C108:J108" si="2">C109+C111+C114</f>
        <v>13969.5</v>
      </c>
      <c r="D108" s="429">
        <f t="shared" si="2"/>
        <v>114096.8</v>
      </c>
      <c r="E108" s="429">
        <f t="shared" si="2"/>
        <v>11754.5</v>
      </c>
      <c r="F108" s="429">
        <f t="shared" si="2"/>
        <v>139820.80000000002</v>
      </c>
      <c r="G108" s="429">
        <f t="shared" si="2"/>
        <v>13445.800000000001</v>
      </c>
      <c r="H108" s="429">
        <f t="shared" si="2"/>
        <v>109733.20000000001</v>
      </c>
      <c r="I108" s="429">
        <f t="shared" si="2"/>
        <v>11754.5</v>
      </c>
      <c r="J108" s="429">
        <f t="shared" si="2"/>
        <v>134933.5</v>
      </c>
      <c r="K108" s="430">
        <f>J108*100/F108</f>
        <v>96.504597313132223</v>
      </c>
      <c r="L108" s="431"/>
      <c r="M108" s="389"/>
      <c r="N108" s="390"/>
      <c r="O108" s="389"/>
      <c r="P108" s="571"/>
      <c r="Q108" s="573"/>
    </row>
    <row r="109" spans="1:17" s="391" customFormat="1" ht="245.25" customHeight="1">
      <c r="A109" s="472" t="s">
        <v>32</v>
      </c>
      <c r="B109" s="463" t="s">
        <v>45</v>
      </c>
      <c r="C109" s="549">
        <v>8896.6</v>
      </c>
      <c r="D109" s="549">
        <v>3386</v>
      </c>
      <c r="E109" s="549"/>
      <c r="F109" s="547">
        <f>E109+D109+C109</f>
        <v>12282.6</v>
      </c>
      <c r="G109" s="549">
        <v>8806.2000000000007</v>
      </c>
      <c r="H109" s="549">
        <v>2721.6</v>
      </c>
      <c r="I109" s="549"/>
      <c r="J109" s="547">
        <f>I109+H109+G109</f>
        <v>11527.800000000001</v>
      </c>
      <c r="K109" s="574">
        <f>J109*100/F109</f>
        <v>93.854721313077036</v>
      </c>
      <c r="L109" s="610" t="s">
        <v>406</v>
      </c>
      <c r="M109" s="511">
        <f>5355.4+50+25.7+80+429</f>
        <v>5940.0999999999995</v>
      </c>
      <c r="N109" s="762">
        <f>M109+M110</f>
        <v>9880.9</v>
      </c>
      <c r="O109" s="511">
        <f>8449.1+60+47.1+250+696.9</f>
        <v>9503.1</v>
      </c>
      <c r="P109" s="770">
        <f>O109+O110</f>
        <v>11527.800000000001</v>
      </c>
      <c r="Q109" s="743">
        <f>J109-P109</f>
        <v>0</v>
      </c>
    </row>
    <row r="110" spans="1:17" s="391" customFormat="1" ht="73.5" customHeight="1">
      <c r="A110" s="473"/>
      <c r="B110" s="465"/>
      <c r="C110" s="508"/>
      <c r="D110" s="508"/>
      <c r="E110" s="508"/>
      <c r="F110" s="507"/>
      <c r="G110" s="508"/>
      <c r="H110" s="508"/>
      <c r="I110" s="508"/>
      <c r="J110" s="507"/>
      <c r="K110" s="575"/>
      <c r="L110" s="603" t="s">
        <v>405</v>
      </c>
      <c r="M110" s="421">
        <v>3940.8</v>
      </c>
      <c r="N110" s="769"/>
      <c r="O110" s="421">
        <v>2024.7</v>
      </c>
      <c r="P110" s="771"/>
      <c r="Q110" s="775"/>
    </row>
    <row r="111" spans="1:17" s="391" customFormat="1" ht="147.75" customHeight="1">
      <c r="A111" s="576" t="s">
        <v>34</v>
      </c>
      <c r="B111" s="463" t="s">
        <v>7</v>
      </c>
      <c r="C111" s="579">
        <v>0</v>
      </c>
      <c r="D111" s="579">
        <v>106540.8</v>
      </c>
      <c r="E111" s="584">
        <v>11754.5</v>
      </c>
      <c r="F111" s="581">
        <f>E111+D111+C111</f>
        <v>118295.3</v>
      </c>
      <c r="G111" s="579"/>
      <c r="H111" s="579">
        <v>102841.60000000001</v>
      </c>
      <c r="I111" s="579">
        <v>11754.5</v>
      </c>
      <c r="J111" s="581">
        <f>G111+H111+I111</f>
        <v>114596.1</v>
      </c>
      <c r="K111" s="611">
        <f>J111*100/F111</f>
        <v>96.872910419940609</v>
      </c>
      <c r="L111" s="609" t="s">
        <v>479</v>
      </c>
      <c r="M111" s="464">
        <f>11180+33559.8</f>
        <v>44739.8</v>
      </c>
      <c r="N111" s="762" t="e">
        <f>M111+#REF!+M113</f>
        <v>#REF!</v>
      </c>
      <c r="O111" s="511">
        <f>45387.9+11754.5</f>
        <v>57142.400000000001</v>
      </c>
      <c r="P111" s="770">
        <f>O111+O112+O113</f>
        <v>114596.09999999999</v>
      </c>
      <c r="Q111" s="743">
        <f>J111-P111</f>
        <v>0</v>
      </c>
    </row>
    <row r="112" spans="1:17" s="391" customFormat="1" ht="123" customHeight="1">
      <c r="A112" s="422"/>
      <c r="B112" s="439"/>
      <c r="C112" s="435"/>
      <c r="D112" s="435"/>
      <c r="E112" s="435"/>
      <c r="F112" s="436"/>
      <c r="G112" s="435"/>
      <c r="H112" s="435"/>
      <c r="I112" s="435"/>
      <c r="J112" s="436"/>
      <c r="K112" s="612"/>
      <c r="L112" s="426" t="s">
        <v>408</v>
      </c>
      <c r="M112" s="529"/>
      <c r="N112" s="746"/>
      <c r="O112" s="511">
        <f>8875.8+214.6+60.4+67.5+296.4+104+305.7+2.5+5.1</f>
        <v>9932</v>
      </c>
      <c r="P112" s="759"/>
      <c r="Q112" s="744"/>
    </row>
    <row r="113" spans="1:18" s="391" customFormat="1" ht="96" customHeight="1">
      <c r="A113" s="422"/>
      <c r="B113" s="465"/>
      <c r="C113" s="580"/>
      <c r="D113" s="580"/>
      <c r="E113" s="585"/>
      <c r="F113" s="582"/>
      <c r="G113" s="580"/>
      <c r="H113" s="580"/>
      <c r="I113" s="580"/>
      <c r="J113" s="582"/>
      <c r="K113" s="613"/>
      <c r="L113" s="593" t="s">
        <v>407</v>
      </c>
      <c r="M113" s="446">
        <f>22046.5+12798.3</f>
        <v>34844.800000000003</v>
      </c>
      <c r="N113" s="769"/>
      <c r="O113" s="421">
        <f>29372.5+18149.2</f>
        <v>47521.7</v>
      </c>
      <c r="P113" s="771"/>
      <c r="Q113" s="768"/>
    </row>
    <row r="114" spans="1:18" s="391" customFormat="1" ht="105.75" customHeight="1">
      <c r="A114" s="576" t="s">
        <v>35</v>
      </c>
      <c r="B114" s="460" t="s">
        <v>8</v>
      </c>
      <c r="C114" s="549">
        <v>5072.8999999999996</v>
      </c>
      <c r="D114" s="549">
        <v>4170</v>
      </c>
      <c r="E114" s="549"/>
      <c r="F114" s="547">
        <f>E114+D114+C114</f>
        <v>9242.9</v>
      </c>
      <c r="G114" s="549">
        <v>4639.6000000000004</v>
      </c>
      <c r="H114" s="549">
        <v>4170</v>
      </c>
      <c r="I114" s="549"/>
      <c r="J114" s="547">
        <f>I114+H114+G114</f>
        <v>8809.6</v>
      </c>
      <c r="K114" s="574">
        <f>J114*100/F114</f>
        <v>95.312077378312011</v>
      </c>
      <c r="L114" s="426" t="s">
        <v>409</v>
      </c>
      <c r="M114" s="511">
        <f>2052.2+136+21.6+195.9</f>
        <v>2405.6999999999998</v>
      </c>
      <c r="N114" s="474" t="e">
        <f>M114+#REF!</f>
        <v>#REF!</v>
      </c>
      <c r="O114" s="511">
        <f>3498.3+107.9+103.4+263.2</f>
        <v>3972.8</v>
      </c>
      <c r="P114" s="770">
        <f>O114+O115+O116+O117+O118</f>
        <v>8809.6</v>
      </c>
      <c r="Q114" s="743">
        <f>J114-P114</f>
        <v>0</v>
      </c>
    </row>
    <row r="115" spans="1:18" s="391" customFormat="1" ht="60" customHeight="1">
      <c r="A115" s="422"/>
      <c r="B115" s="462"/>
      <c r="C115" s="425"/>
      <c r="D115" s="425"/>
      <c r="E115" s="425"/>
      <c r="F115" s="419"/>
      <c r="G115" s="425"/>
      <c r="H115" s="425"/>
      <c r="I115" s="425"/>
      <c r="J115" s="419"/>
      <c r="K115" s="509"/>
      <c r="L115" s="592" t="s">
        <v>358</v>
      </c>
      <c r="M115" s="525"/>
      <c r="N115" s="444"/>
      <c r="O115" s="525">
        <v>29.8</v>
      </c>
      <c r="P115" s="759"/>
      <c r="Q115" s="744"/>
    </row>
    <row r="116" spans="1:18" s="391" customFormat="1" ht="100.5" customHeight="1">
      <c r="A116" s="422"/>
      <c r="B116" s="462"/>
      <c r="C116" s="425"/>
      <c r="D116" s="425"/>
      <c r="E116" s="425"/>
      <c r="F116" s="419"/>
      <c r="G116" s="425"/>
      <c r="H116" s="425"/>
      <c r="I116" s="425"/>
      <c r="J116" s="419"/>
      <c r="K116" s="509"/>
      <c r="L116" s="592" t="s">
        <v>410</v>
      </c>
      <c r="M116" s="525"/>
      <c r="N116" s="444"/>
      <c r="O116" s="525">
        <f>397.6+154.3</f>
        <v>551.90000000000009</v>
      </c>
      <c r="P116" s="759"/>
      <c r="Q116" s="744"/>
    </row>
    <row r="117" spans="1:18" s="391" customFormat="1" ht="55.5" customHeight="1">
      <c r="A117" s="422"/>
      <c r="B117" s="462"/>
      <c r="C117" s="425"/>
      <c r="D117" s="425"/>
      <c r="E117" s="425"/>
      <c r="F117" s="419"/>
      <c r="G117" s="425"/>
      <c r="H117" s="425"/>
      <c r="I117" s="425"/>
      <c r="J117" s="419"/>
      <c r="K117" s="509"/>
      <c r="L117" s="592" t="s">
        <v>362</v>
      </c>
      <c r="M117" s="525"/>
      <c r="N117" s="444"/>
      <c r="O117" s="525">
        <f>1454.3+2715.7</f>
        <v>4170</v>
      </c>
      <c r="P117" s="759"/>
      <c r="Q117" s="744"/>
    </row>
    <row r="118" spans="1:18" s="391" customFormat="1" ht="57.75" customHeight="1">
      <c r="A118" s="422"/>
      <c r="B118" s="462"/>
      <c r="C118" s="425"/>
      <c r="D118" s="425"/>
      <c r="E118" s="425"/>
      <c r="F118" s="419"/>
      <c r="G118" s="425"/>
      <c r="H118" s="425"/>
      <c r="I118" s="425"/>
      <c r="J118" s="419"/>
      <c r="K118" s="509"/>
      <c r="L118" s="592" t="s">
        <v>363</v>
      </c>
      <c r="M118" s="525"/>
      <c r="N118" s="444"/>
      <c r="O118" s="421">
        <f>29.7+55.4</f>
        <v>85.1</v>
      </c>
      <c r="P118" s="771"/>
      <c r="Q118" s="768"/>
    </row>
    <row r="119" spans="1:18" s="391" customFormat="1" ht="290.25" customHeight="1">
      <c r="A119" s="475" t="s">
        <v>37</v>
      </c>
      <c r="B119" s="561" t="s">
        <v>81</v>
      </c>
      <c r="C119" s="547">
        <v>28789.3</v>
      </c>
      <c r="D119" s="547">
        <v>1883.1</v>
      </c>
      <c r="E119" s="614">
        <v>151.5</v>
      </c>
      <c r="F119" s="547">
        <f>E119+D119+C119</f>
        <v>30823.899999999998</v>
      </c>
      <c r="G119" s="547">
        <v>28293.7</v>
      </c>
      <c r="H119" s="547">
        <v>723.3</v>
      </c>
      <c r="I119" s="547">
        <v>151.5</v>
      </c>
      <c r="J119" s="547">
        <f>I119+H119+G119</f>
        <v>29168.5</v>
      </c>
      <c r="K119" s="574">
        <f>J119*100/F119</f>
        <v>94.629492050000167</v>
      </c>
      <c r="L119" s="619" t="s">
        <v>498</v>
      </c>
      <c r="M119" s="449">
        <f>9556.7+2688.8+172.6+1474.5+454.5+500.3+138.4+204.4+9+349.8+147.85+22.53</f>
        <v>15719.38</v>
      </c>
      <c r="N119" s="780">
        <f>M119+M121+M122+M125</f>
        <v>16259.9</v>
      </c>
      <c r="O119" s="449">
        <f>14592.28+4372.5+293.99+259.6+1111.84+380.28+240.95+277.98+674.4+137.85+4288.16+12.57</f>
        <v>26642.399999999998</v>
      </c>
      <c r="P119" s="770">
        <f>O119+O121+O122+O124+O125+O123+O120</f>
        <v>29168.499999999996</v>
      </c>
      <c r="Q119" s="743">
        <f>J119-P119</f>
        <v>0</v>
      </c>
      <c r="R119" s="778"/>
    </row>
    <row r="120" spans="1:18" s="391" customFormat="1" ht="132" customHeight="1">
      <c r="A120" s="476"/>
      <c r="B120" s="471"/>
      <c r="C120" s="419"/>
      <c r="D120" s="419"/>
      <c r="E120" s="419"/>
      <c r="F120" s="419"/>
      <c r="G120" s="419"/>
      <c r="H120" s="419"/>
      <c r="I120" s="419"/>
      <c r="J120" s="419"/>
      <c r="K120" s="623"/>
      <c r="L120" s="599" t="s">
        <v>497</v>
      </c>
      <c r="M120" s="442"/>
      <c r="N120" s="781"/>
      <c r="O120" s="442">
        <f>116.4+35.1</f>
        <v>151.5</v>
      </c>
      <c r="P120" s="759"/>
      <c r="Q120" s="744"/>
      <c r="R120" s="778"/>
    </row>
    <row r="121" spans="1:18" s="391" customFormat="1" ht="61.5" customHeight="1">
      <c r="A121" s="476"/>
      <c r="B121" s="471"/>
      <c r="C121" s="419"/>
      <c r="D121" s="419"/>
      <c r="E121" s="419"/>
      <c r="F121" s="419"/>
      <c r="G121" s="419"/>
      <c r="H121" s="419"/>
      <c r="I121" s="419"/>
      <c r="J121" s="419"/>
      <c r="K121" s="509"/>
      <c r="L121" s="551" t="s">
        <v>415</v>
      </c>
      <c r="M121" s="442">
        <v>113.5</v>
      </c>
      <c r="N121" s="781"/>
      <c r="O121" s="525">
        <v>144</v>
      </c>
      <c r="P121" s="759"/>
      <c r="Q121" s="767"/>
      <c r="R121" s="779"/>
    </row>
    <row r="122" spans="1:18" s="391" customFormat="1" ht="57" customHeight="1">
      <c r="A122" s="477"/>
      <c r="B122" s="471"/>
      <c r="C122" s="419"/>
      <c r="D122" s="419"/>
      <c r="E122" s="419"/>
      <c r="F122" s="419"/>
      <c r="G122" s="419"/>
      <c r="H122" s="419"/>
      <c r="I122" s="419"/>
      <c r="J122" s="419"/>
      <c r="K122" s="509"/>
      <c r="L122" s="551" t="s">
        <v>417</v>
      </c>
      <c r="M122" s="442">
        <f>271+50</f>
        <v>321</v>
      </c>
      <c r="N122" s="781"/>
      <c r="O122" s="525">
        <v>480.3</v>
      </c>
      <c r="P122" s="759"/>
      <c r="Q122" s="767"/>
      <c r="R122" s="779"/>
    </row>
    <row r="123" spans="1:18" s="391" customFormat="1" ht="57" customHeight="1">
      <c r="A123" s="477"/>
      <c r="B123" s="471"/>
      <c r="C123" s="419"/>
      <c r="D123" s="419"/>
      <c r="E123" s="419"/>
      <c r="F123" s="419"/>
      <c r="G123" s="419"/>
      <c r="H123" s="419"/>
      <c r="I123" s="419"/>
      <c r="J123" s="419"/>
      <c r="K123" s="509"/>
      <c r="L123" s="471" t="s">
        <v>416</v>
      </c>
      <c r="M123" s="442"/>
      <c r="N123" s="781"/>
      <c r="O123" s="525">
        <v>150</v>
      </c>
      <c r="P123" s="759"/>
      <c r="Q123" s="767"/>
      <c r="R123" s="779"/>
    </row>
    <row r="124" spans="1:18" s="391" customFormat="1" ht="120.75" customHeight="1">
      <c r="A124" s="477"/>
      <c r="B124" s="471"/>
      <c r="C124" s="419"/>
      <c r="D124" s="419"/>
      <c r="E124" s="419"/>
      <c r="F124" s="419"/>
      <c r="G124" s="419"/>
      <c r="H124" s="419"/>
      <c r="I124" s="419"/>
      <c r="J124" s="419"/>
      <c r="K124" s="509"/>
      <c r="L124" s="471" t="s">
        <v>456</v>
      </c>
      <c r="M124" s="442"/>
      <c r="N124" s="781"/>
      <c r="O124" s="525">
        <f>723.3+12.4+11.3</f>
        <v>746.99999999999989</v>
      </c>
      <c r="P124" s="759"/>
      <c r="Q124" s="767"/>
      <c r="R124" s="779"/>
    </row>
    <row r="125" spans="1:18" s="391" customFormat="1" ht="213" customHeight="1">
      <c r="A125" s="477"/>
      <c r="B125" s="471"/>
      <c r="C125" s="419"/>
      <c r="D125" s="419"/>
      <c r="E125" s="419"/>
      <c r="F125" s="419"/>
      <c r="G125" s="419"/>
      <c r="H125" s="419"/>
      <c r="I125" s="419"/>
      <c r="J125" s="419"/>
      <c r="K125" s="509"/>
      <c r="L125" s="471" t="s">
        <v>418</v>
      </c>
      <c r="M125" s="478">
        <f>94.12+11.9</f>
        <v>106.02000000000001</v>
      </c>
      <c r="N125" s="782"/>
      <c r="O125" s="421">
        <f>193.5+35+23.8+32.8+52+45.1+174.9+296.2</f>
        <v>853.3</v>
      </c>
      <c r="P125" s="771"/>
      <c r="Q125" s="768"/>
      <c r="R125" s="779"/>
    </row>
    <row r="126" spans="1:18" s="391" customFormat="1" ht="170.25" customHeight="1">
      <c r="A126" s="427" t="s">
        <v>39</v>
      </c>
      <c r="B126" s="479" t="s">
        <v>74</v>
      </c>
      <c r="C126" s="429">
        <v>22.8</v>
      </c>
      <c r="D126" s="429"/>
      <c r="E126" s="429"/>
      <c r="F126" s="429">
        <f>E126+D126+C126</f>
        <v>22.8</v>
      </c>
      <c r="G126" s="429">
        <v>22.8</v>
      </c>
      <c r="H126" s="429"/>
      <c r="I126" s="429"/>
      <c r="J126" s="429">
        <f>G126+H126+I126</f>
        <v>22.8</v>
      </c>
      <c r="K126" s="430">
        <f>J126/F126*100</f>
        <v>100</v>
      </c>
      <c r="L126" s="431" t="s">
        <v>411</v>
      </c>
      <c r="M126" s="454">
        <f>4+3+3</f>
        <v>10</v>
      </c>
      <c r="N126" s="390"/>
      <c r="O126" s="468">
        <f>3+5+6.8+2+4+2</f>
        <v>22.8</v>
      </c>
      <c r="P126" s="559"/>
      <c r="Q126" s="573"/>
    </row>
    <row r="127" spans="1:18" s="391" customFormat="1" ht="123.75" customHeight="1">
      <c r="A127" s="480" t="s">
        <v>40</v>
      </c>
      <c r="B127" s="432" t="s">
        <v>75</v>
      </c>
      <c r="C127" s="429">
        <f t="shared" ref="C127:J127" si="3">C128+C129+C130+C131</f>
        <v>99.100000000000009</v>
      </c>
      <c r="D127" s="429">
        <f t="shared" si="3"/>
        <v>0</v>
      </c>
      <c r="E127" s="429">
        <f t="shared" si="3"/>
        <v>0</v>
      </c>
      <c r="F127" s="429">
        <f t="shared" si="3"/>
        <v>99.100000000000009</v>
      </c>
      <c r="G127" s="429">
        <f>G128+G129+G130+G131</f>
        <v>99.100000000000009</v>
      </c>
      <c r="H127" s="429">
        <f t="shared" si="3"/>
        <v>0</v>
      </c>
      <c r="I127" s="429">
        <f t="shared" si="3"/>
        <v>0</v>
      </c>
      <c r="J127" s="429">
        <f t="shared" si="3"/>
        <v>99.100000000000009</v>
      </c>
      <c r="K127" s="430">
        <f>J127*100/F127</f>
        <v>99.999999999999986</v>
      </c>
      <c r="L127" s="431"/>
      <c r="M127" s="389"/>
      <c r="N127" s="390"/>
      <c r="O127" s="389"/>
      <c r="P127" s="571"/>
      <c r="Q127" s="573"/>
    </row>
    <row r="128" spans="1:18" s="391" customFormat="1" ht="112.5" customHeight="1">
      <c r="A128" s="481" t="s">
        <v>66</v>
      </c>
      <c r="B128" s="482" t="s">
        <v>9</v>
      </c>
      <c r="C128" s="606">
        <v>17</v>
      </c>
      <c r="D128" s="606"/>
      <c r="E128" s="606"/>
      <c r="F128" s="429">
        <f>E128+D128+C128</f>
        <v>17</v>
      </c>
      <c r="G128" s="606">
        <v>17</v>
      </c>
      <c r="H128" s="606"/>
      <c r="I128" s="606"/>
      <c r="J128" s="429">
        <f>I128+H128+G128</f>
        <v>17</v>
      </c>
      <c r="K128" s="430">
        <f>J128*100/F128</f>
        <v>100</v>
      </c>
      <c r="L128" s="594" t="s">
        <v>413</v>
      </c>
      <c r="M128" s="511">
        <v>1.8</v>
      </c>
      <c r="N128" s="513">
        <f>M128+M129+M130+M131</f>
        <v>74.100000000000009</v>
      </c>
      <c r="O128" s="541">
        <f>3+14</f>
        <v>17</v>
      </c>
      <c r="P128" s="558">
        <f>O128+O129+O130+O131</f>
        <v>99.100000000000009</v>
      </c>
      <c r="Q128" s="571">
        <f>J127-P128</f>
        <v>0</v>
      </c>
    </row>
    <row r="129" spans="1:22" s="391" customFormat="1" ht="61.5" customHeight="1">
      <c r="A129" s="483" t="s">
        <v>67</v>
      </c>
      <c r="B129" s="482" t="s">
        <v>48</v>
      </c>
      <c r="C129" s="606">
        <v>37.1</v>
      </c>
      <c r="D129" s="606"/>
      <c r="E129" s="606"/>
      <c r="F129" s="429">
        <f>E129+D129+C129</f>
        <v>37.1</v>
      </c>
      <c r="G129" s="606">
        <v>37.1</v>
      </c>
      <c r="H129" s="606"/>
      <c r="I129" s="606"/>
      <c r="J129" s="429">
        <f>I129+H129+G129</f>
        <v>37.1</v>
      </c>
      <c r="K129" s="430">
        <f>J129*100/F129</f>
        <v>100</v>
      </c>
      <c r="L129" s="431" t="s">
        <v>414</v>
      </c>
      <c r="M129" s="525">
        <v>49.2</v>
      </c>
      <c r="N129" s="440"/>
      <c r="O129" s="525">
        <v>37.1</v>
      </c>
      <c r="P129" s="563"/>
      <c r="Q129" s="573"/>
    </row>
    <row r="130" spans="1:22" s="391" customFormat="1" ht="107.25" customHeight="1">
      <c r="A130" s="453" t="s">
        <v>68</v>
      </c>
      <c r="B130" s="458" t="s">
        <v>10</v>
      </c>
      <c r="C130" s="606">
        <v>42.6</v>
      </c>
      <c r="D130" s="606"/>
      <c r="E130" s="606"/>
      <c r="F130" s="429">
        <f>E130+D130+C130</f>
        <v>42.6</v>
      </c>
      <c r="G130" s="606">
        <v>42.6</v>
      </c>
      <c r="H130" s="606"/>
      <c r="I130" s="606"/>
      <c r="J130" s="429">
        <f>I130+H130+G130</f>
        <v>42.6</v>
      </c>
      <c r="K130" s="430">
        <f>J130*100/F130</f>
        <v>100</v>
      </c>
      <c r="L130" s="431" t="s">
        <v>412</v>
      </c>
      <c r="M130" s="421">
        <v>20.399999999999999</v>
      </c>
      <c r="N130" s="514"/>
      <c r="O130" s="525">
        <v>42.6</v>
      </c>
      <c r="P130" s="563"/>
      <c r="Q130" s="573"/>
    </row>
    <row r="131" spans="1:22" s="391" customFormat="1" ht="108" customHeight="1">
      <c r="A131" s="453" t="s">
        <v>69</v>
      </c>
      <c r="B131" s="458" t="s">
        <v>11</v>
      </c>
      <c r="C131" s="606">
        <v>2.4</v>
      </c>
      <c r="D131" s="606"/>
      <c r="E131" s="606"/>
      <c r="F131" s="429">
        <f>E131+D131+C131</f>
        <v>2.4</v>
      </c>
      <c r="G131" s="606">
        <v>2.4</v>
      </c>
      <c r="H131" s="606"/>
      <c r="I131" s="606"/>
      <c r="J131" s="429">
        <f>I131+H131+G131</f>
        <v>2.4</v>
      </c>
      <c r="K131" s="430">
        <f>J131*100/F131</f>
        <v>100</v>
      </c>
      <c r="L131" s="431" t="s">
        <v>365</v>
      </c>
      <c r="M131" s="389">
        <v>2.7</v>
      </c>
      <c r="N131" s="390"/>
      <c r="O131" s="421">
        <v>2.4</v>
      </c>
      <c r="P131" s="559"/>
      <c r="Q131" s="573"/>
    </row>
    <row r="132" spans="1:22" s="391" customFormat="1" ht="217.5" customHeight="1">
      <c r="A132" s="796" t="s">
        <v>41</v>
      </c>
      <c r="B132" s="469" t="s">
        <v>76</v>
      </c>
      <c r="C132" s="725">
        <v>2864.5</v>
      </c>
      <c r="D132" s="725">
        <v>2391.5</v>
      </c>
      <c r="E132" s="725">
        <v>250</v>
      </c>
      <c r="F132" s="725">
        <f>E132+D132+C132</f>
        <v>5506</v>
      </c>
      <c r="G132" s="725">
        <v>2748.5</v>
      </c>
      <c r="H132" s="725">
        <v>2.5</v>
      </c>
      <c r="I132" s="725">
        <v>250</v>
      </c>
      <c r="J132" s="725">
        <f>G132+I132+H132</f>
        <v>3001</v>
      </c>
      <c r="K132" s="727">
        <f>J132/F132*100</f>
        <v>54.50417726116963</v>
      </c>
      <c r="L132" s="388" t="s">
        <v>480</v>
      </c>
      <c r="M132" s="511">
        <f>912.45+239.06+39.1+125.99+21.63+22.81+0.05+1.61</f>
        <v>1362.6999999999998</v>
      </c>
      <c r="N132" s="474" t="e">
        <f>M132+M134+#REF!</f>
        <v>#REF!</v>
      </c>
      <c r="O132" s="449">
        <f>1477.08+1.25+471.68+150.87+6.3+78.51+39.54+114.26+48.86+84.82</f>
        <v>2473.170000000001</v>
      </c>
      <c r="P132" s="743">
        <f>O132+O133+O134+O135</f>
        <v>3001.0000000000009</v>
      </c>
      <c r="Q132" s="573"/>
      <c r="R132" s="461"/>
      <c r="S132" s="461"/>
      <c r="T132" s="461"/>
      <c r="U132" s="461"/>
      <c r="V132" s="461"/>
    </row>
    <row r="133" spans="1:22" s="391" customFormat="1" ht="89.25" customHeight="1">
      <c r="A133" s="797"/>
      <c r="B133" s="443"/>
      <c r="C133" s="776"/>
      <c r="D133" s="776"/>
      <c r="E133" s="776"/>
      <c r="F133" s="776"/>
      <c r="G133" s="776"/>
      <c r="H133" s="776"/>
      <c r="I133" s="776"/>
      <c r="J133" s="776"/>
      <c r="K133" s="777"/>
      <c r="L133" s="420" t="s">
        <v>402</v>
      </c>
      <c r="M133" s="525"/>
      <c r="N133" s="444"/>
      <c r="O133" s="442">
        <f>97.9+71.4</f>
        <v>169.3</v>
      </c>
      <c r="P133" s="744"/>
      <c r="Q133" s="573"/>
      <c r="R133" s="461"/>
      <c r="S133" s="461"/>
      <c r="T133" s="461"/>
      <c r="U133" s="461"/>
      <c r="V133" s="461"/>
    </row>
    <row r="134" spans="1:22" s="391" customFormat="1" ht="135.75" customHeight="1">
      <c r="A134" s="797"/>
      <c r="B134" s="443"/>
      <c r="C134" s="776"/>
      <c r="D134" s="776"/>
      <c r="E134" s="776"/>
      <c r="F134" s="776"/>
      <c r="G134" s="776"/>
      <c r="H134" s="776"/>
      <c r="I134" s="776"/>
      <c r="J134" s="776"/>
      <c r="K134" s="777"/>
      <c r="L134" s="593" t="s">
        <v>364</v>
      </c>
      <c r="M134" s="421">
        <f>2.8+29.7+29.3</f>
        <v>61.8</v>
      </c>
      <c r="N134" s="447"/>
      <c r="O134" s="478">
        <f>83.2+27.9+146.6</f>
        <v>257.7</v>
      </c>
      <c r="P134" s="775"/>
      <c r="Q134" s="573"/>
    </row>
    <row r="135" spans="1:22" s="391" customFormat="1" ht="103.5" customHeight="1">
      <c r="A135" s="798"/>
      <c r="B135" s="448"/>
      <c r="C135" s="726"/>
      <c r="D135" s="726"/>
      <c r="E135" s="726"/>
      <c r="F135" s="726"/>
      <c r="G135" s="726"/>
      <c r="H135" s="726"/>
      <c r="I135" s="726"/>
      <c r="J135" s="726"/>
      <c r="K135" s="761"/>
      <c r="L135" s="593" t="s">
        <v>403</v>
      </c>
      <c r="M135" s="529"/>
      <c r="N135" s="440"/>
      <c r="O135" s="555">
        <f>30+30+30+10.83</f>
        <v>100.83</v>
      </c>
      <c r="P135" s="556"/>
      <c r="Q135" s="573"/>
    </row>
    <row r="136" spans="1:22" s="391" customFormat="1" ht="94.5" customHeight="1">
      <c r="A136" s="480" t="s">
        <v>42</v>
      </c>
      <c r="B136" s="530" t="s">
        <v>77</v>
      </c>
      <c r="C136" s="547">
        <f t="shared" ref="C136:J136" si="4">C137+C143</f>
        <v>58538.700000000004</v>
      </c>
      <c r="D136" s="547">
        <f t="shared" si="4"/>
        <v>20000</v>
      </c>
      <c r="E136" s="614">
        <f t="shared" si="4"/>
        <v>0</v>
      </c>
      <c r="F136" s="547">
        <f t="shared" si="4"/>
        <v>78538.7</v>
      </c>
      <c r="G136" s="429">
        <f t="shared" si="4"/>
        <v>33245.300000000003</v>
      </c>
      <c r="H136" s="429">
        <f t="shared" si="4"/>
        <v>0</v>
      </c>
      <c r="I136" s="429">
        <f t="shared" si="4"/>
        <v>0</v>
      </c>
      <c r="J136" s="429">
        <f t="shared" si="4"/>
        <v>33245.300000000003</v>
      </c>
      <c r="K136" s="430">
        <f>J136*100/F136</f>
        <v>42.329832299235925</v>
      </c>
      <c r="L136" s="431"/>
      <c r="M136" s="455"/>
      <c r="N136" s="390"/>
      <c r="O136" s="455"/>
      <c r="P136" s="571"/>
      <c r="Q136" s="573"/>
    </row>
    <row r="137" spans="1:22" s="391" customFormat="1" ht="315.75" customHeight="1">
      <c r="A137" s="562" t="s">
        <v>43</v>
      </c>
      <c r="B137" s="463" t="s">
        <v>12</v>
      </c>
      <c r="C137" s="549">
        <v>57191.9</v>
      </c>
      <c r="D137" s="549">
        <v>20000</v>
      </c>
      <c r="E137" s="549"/>
      <c r="F137" s="547">
        <f>E137+D137+C137</f>
        <v>77191.899999999994</v>
      </c>
      <c r="G137" s="549">
        <v>31898.5</v>
      </c>
      <c r="H137" s="549"/>
      <c r="I137" s="549"/>
      <c r="J137" s="547">
        <f>I137+H137+G137</f>
        <v>31898.5</v>
      </c>
      <c r="K137" s="574">
        <f>J137*100/F137</f>
        <v>41.323636288263408</v>
      </c>
      <c r="L137" s="565" t="s">
        <v>455</v>
      </c>
      <c r="M137" s="511">
        <f>48.83+276.74+58.04+65.92+50.83+116.02</f>
        <v>616.38</v>
      </c>
      <c r="N137" s="762" t="e">
        <f>M137+M142+#REF!+#REF!+#REF!+#REF!+M143</f>
        <v>#REF!</v>
      </c>
      <c r="O137" s="449">
        <f>320.5+1437+551.8+535.8+396.6+166.93</f>
        <v>3408.63</v>
      </c>
      <c r="P137" s="747">
        <f>O137+O138+O139+O141+O142+O143</f>
        <v>33245.300000000003</v>
      </c>
      <c r="Q137" s="571">
        <f>J136-P137</f>
        <v>0</v>
      </c>
    </row>
    <row r="138" spans="1:22" s="391" customFormat="1" ht="222" customHeight="1">
      <c r="A138" s="484"/>
      <c r="B138" s="462"/>
      <c r="C138" s="425"/>
      <c r="D138" s="425"/>
      <c r="E138" s="425"/>
      <c r="F138" s="419"/>
      <c r="G138" s="425"/>
      <c r="H138" s="425"/>
      <c r="I138" s="425"/>
      <c r="J138" s="419"/>
      <c r="K138" s="509"/>
      <c r="L138" s="625" t="s">
        <v>501</v>
      </c>
      <c r="M138" s="525"/>
      <c r="N138" s="746"/>
      <c r="O138" s="442">
        <f>352.3+598.4+800.63+694.3+442+12</f>
        <v>2899.63</v>
      </c>
      <c r="P138" s="748"/>
      <c r="Q138" s="571"/>
    </row>
    <row r="139" spans="1:22" s="391" customFormat="1" ht="212.25" customHeight="1">
      <c r="A139" s="484"/>
      <c r="B139" s="462"/>
      <c r="C139" s="425"/>
      <c r="D139" s="425"/>
      <c r="E139" s="425"/>
      <c r="F139" s="419"/>
      <c r="G139" s="425"/>
      <c r="H139" s="425"/>
      <c r="I139" s="425"/>
      <c r="J139" s="419"/>
      <c r="K139" s="509"/>
      <c r="L139" s="607" t="s">
        <v>454</v>
      </c>
      <c r="M139" s="525"/>
      <c r="N139" s="746"/>
      <c r="O139" s="538">
        <f>1876.9+5946.8+2976.4+5472.2+4871.4+3428.9+30.6</f>
        <v>24603.199999999997</v>
      </c>
      <c r="P139" s="748"/>
      <c r="Q139" s="571"/>
    </row>
    <row r="140" spans="1:22" s="391" customFormat="1" ht="178.5" customHeight="1">
      <c r="A140" s="484"/>
      <c r="B140" s="462"/>
      <c r="C140" s="425"/>
      <c r="D140" s="425"/>
      <c r="E140" s="425"/>
      <c r="F140" s="419"/>
      <c r="G140" s="425"/>
      <c r="H140" s="425"/>
      <c r="I140" s="425"/>
      <c r="J140" s="419"/>
      <c r="K140" s="509"/>
      <c r="L140" s="566" t="s">
        <v>481</v>
      </c>
      <c r="M140" s="525"/>
      <c r="N140" s="746"/>
      <c r="O140" s="538"/>
      <c r="P140" s="748"/>
      <c r="Q140" s="571"/>
    </row>
    <row r="141" spans="1:22" s="391" customFormat="1" ht="188.25" customHeight="1">
      <c r="A141" s="484"/>
      <c r="B141" s="462"/>
      <c r="C141" s="425"/>
      <c r="D141" s="425"/>
      <c r="E141" s="425"/>
      <c r="F141" s="419"/>
      <c r="G141" s="425"/>
      <c r="H141" s="425"/>
      <c r="I141" s="425"/>
      <c r="J141" s="419"/>
      <c r="K141" s="509"/>
      <c r="L141" s="566" t="s">
        <v>482</v>
      </c>
      <c r="M141" s="525"/>
      <c r="N141" s="746"/>
      <c r="O141" s="538">
        <f>32.7+41.8+76.4+34.2+106.9+62.2</f>
        <v>354.2</v>
      </c>
      <c r="P141" s="748"/>
      <c r="Q141" s="571"/>
    </row>
    <row r="142" spans="1:22" s="391" customFormat="1" ht="144.75" customHeight="1">
      <c r="A142" s="484"/>
      <c r="B142" s="462"/>
      <c r="C142" s="425"/>
      <c r="D142" s="425"/>
      <c r="E142" s="425"/>
      <c r="F142" s="419"/>
      <c r="G142" s="425"/>
      <c r="H142" s="425"/>
      <c r="I142" s="425"/>
      <c r="J142" s="419"/>
      <c r="K142" s="509"/>
      <c r="L142" s="566" t="s">
        <v>425</v>
      </c>
      <c r="M142" s="525">
        <v>23.4</v>
      </c>
      <c r="N142" s="746"/>
      <c r="O142" s="525">
        <f>486.47+146.37</f>
        <v>632.84</v>
      </c>
      <c r="P142" s="748"/>
      <c r="Q142" s="571"/>
    </row>
    <row r="143" spans="1:22" s="391" customFormat="1" ht="59.25" customHeight="1">
      <c r="A143" s="481" t="s">
        <v>44</v>
      </c>
      <c r="B143" s="482" t="s">
        <v>13</v>
      </c>
      <c r="C143" s="606">
        <v>1346.8</v>
      </c>
      <c r="D143" s="606"/>
      <c r="E143" s="606"/>
      <c r="F143" s="429">
        <f>E143+D143+C143</f>
        <v>1346.8</v>
      </c>
      <c r="G143" s="606">
        <v>1346.8</v>
      </c>
      <c r="H143" s="606"/>
      <c r="I143" s="606"/>
      <c r="J143" s="429">
        <f>I143+H143+G143</f>
        <v>1346.8</v>
      </c>
      <c r="K143" s="430">
        <f>J143*100/F143</f>
        <v>100</v>
      </c>
      <c r="L143" s="431" t="s">
        <v>356</v>
      </c>
      <c r="M143" s="421">
        <v>611.5</v>
      </c>
      <c r="N143" s="769"/>
      <c r="O143" s="389">
        <v>1346.8</v>
      </c>
      <c r="P143" s="571">
        <f>J143-O143</f>
        <v>0</v>
      </c>
      <c r="Q143" s="573"/>
    </row>
    <row r="144" spans="1:22" s="391" customFormat="1" ht="176.25" customHeight="1">
      <c r="A144" s="512" t="s">
        <v>46</v>
      </c>
      <c r="B144" s="799" t="s">
        <v>30</v>
      </c>
      <c r="C144" s="547">
        <v>36702.199999999997</v>
      </c>
      <c r="D144" s="547">
        <v>143444</v>
      </c>
      <c r="E144" s="614">
        <v>189</v>
      </c>
      <c r="F144" s="547">
        <f>E144+D144+C144</f>
        <v>180335.2</v>
      </c>
      <c r="G144" s="547">
        <v>34900.400000000001</v>
      </c>
      <c r="H144" s="547">
        <v>143440.29999999999</v>
      </c>
      <c r="I144" s="547">
        <v>189</v>
      </c>
      <c r="J144" s="547">
        <f>SUM(G144:I144)</f>
        <v>178529.69999999998</v>
      </c>
      <c r="K144" s="574">
        <f>J144*100/F144</f>
        <v>98.998808884787877</v>
      </c>
      <c r="L144" s="388" t="s">
        <v>496</v>
      </c>
      <c r="M144" s="511">
        <f>10429.1+2836.6+17.88+1+111.86+4.1+47.7+70.55+583.06+171.75+89.3+0.8</f>
        <v>14363.699999999999</v>
      </c>
      <c r="N144" s="763" t="e">
        <f>M144+M146+M147+M148+M149+M150+#REF!+#REF!</f>
        <v>#REF!</v>
      </c>
      <c r="O144" s="511">
        <f>13415.4+42.6+4052.1+165+68.7+1133+129.5+86+6.5+5.1+68.9+1.6</f>
        <v>19174.399999999998</v>
      </c>
      <c r="P144" s="747">
        <f>O144+O146+O147+O148+O149+O150+O151+O145</f>
        <v>178529.69999999998</v>
      </c>
      <c r="Q144" s="571">
        <f>J144-P144</f>
        <v>0</v>
      </c>
    </row>
    <row r="145" spans="1:18" s="391" customFormat="1" ht="153.75" customHeight="1">
      <c r="A145" s="624"/>
      <c r="B145" s="800"/>
      <c r="C145" s="419"/>
      <c r="D145" s="419"/>
      <c r="E145" s="419"/>
      <c r="F145" s="419"/>
      <c r="G145" s="419"/>
      <c r="H145" s="419"/>
      <c r="I145" s="419"/>
      <c r="J145" s="419"/>
      <c r="K145" s="623"/>
      <c r="L145" s="592" t="s">
        <v>495</v>
      </c>
      <c r="M145" s="525"/>
      <c r="N145" s="764"/>
      <c r="O145" s="538">
        <f>145.2+43.8</f>
        <v>189</v>
      </c>
      <c r="P145" s="748"/>
      <c r="Q145" s="620"/>
    </row>
    <row r="146" spans="1:18" s="391" customFormat="1" ht="76.5" customHeight="1">
      <c r="A146" s="416"/>
      <c r="B146" s="800"/>
      <c r="C146" s="419"/>
      <c r="D146" s="419"/>
      <c r="E146" s="419"/>
      <c r="F146" s="419"/>
      <c r="G146" s="419"/>
      <c r="H146" s="419"/>
      <c r="I146" s="419"/>
      <c r="J146" s="419"/>
      <c r="K146" s="509"/>
      <c r="L146" s="420" t="s">
        <v>419</v>
      </c>
      <c r="M146" s="525">
        <v>95040.2</v>
      </c>
      <c r="N146" s="764"/>
      <c r="O146" s="525">
        <v>141905</v>
      </c>
      <c r="P146" s="748"/>
      <c r="Q146" s="573"/>
    </row>
    <row r="147" spans="1:18" s="391" customFormat="1" ht="132" customHeight="1">
      <c r="A147" s="416"/>
      <c r="B147" s="426"/>
      <c r="C147" s="419"/>
      <c r="D147" s="419"/>
      <c r="E147" s="419"/>
      <c r="F147" s="419"/>
      <c r="G147" s="419"/>
      <c r="H147" s="419"/>
      <c r="I147" s="419"/>
      <c r="J147" s="419"/>
      <c r="K147" s="509"/>
      <c r="L147" s="420" t="s">
        <v>420</v>
      </c>
      <c r="M147" s="525">
        <f>5375+41.08+181.2+1526.71+69.2+19.97+130.15+25.16+22.75+41.65+5.29+0.44</f>
        <v>7438.5999999999985</v>
      </c>
      <c r="N147" s="764"/>
      <c r="O147" s="525">
        <f>7607.3+15.6+27.1+2299.6+77.4+148.5+5.3+60.7+109+50.8+6+0.9+4.7</f>
        <v>10412.9</v>
      </c>
      <c r="P147" s="748"/>
      <c r="Q147" s="573"/>
    </row>
    <row r="148" spans="1:18" s="391" customFormat="1" ht="75" customHeight="1">
      <c r="A148" s="416"/>
      <c r="B148" s="426"/>
      <c r="C148" s="419"/>
      <c r="D148" s="419"/>
      <c r="E148" s="419"/>
      <c r="F148" s="419"/>
      <c r="G148" s="419"/>
      <c r="H148" s="419"/>
      <c r="I148" s="419"/>
      <c r="J148" s="419"/>
      <c r="K148" s="509"/>
      <c r="L148" s="420" t="s">
        <v>422</v>
      </c>
      <c r="M148" s="525">
        <v>512.79999999999995</v>
      </c>
      <c r="N148" s="764"/>
      <c r="O148" s="525">
        <v>739.3</v>
      </c>
      <c r="P148" s="748"/>
      <c r="Q148" s="573"/>
    </row>
    <row r="149" spans="1:18" s="391" customFormat="1" ht="52.5" customHeight="1">
      <c r="A149" s="416"/>
      <c r="B149" s="426"/>
      <c r="C149" s="419"/>
      <c r="D149" s="419"/>
      <c r="E149" s="419"/>
      <c r="F149" s="419"/>
      <c r="G149" s="419"/>
      <c r="H149" s="419"/>
      <c r="I149" s="419"/>
      <c r="J149" s="419"/>
      <c r="K149" s="509"/>
      <c r="L149" s="420" t="s">
        <v>421</v>
      </c>
      <c r="M149" s="525">
        <v>563.20000000000005</v>
      </c>
      <c r="N149" s="444"/>
      <c r="O149" s="525">
        <v>781</v>
      </c>
      <c r="P149" s="748"/>
      <c r="Q149" s="573"/>
    </row>
    <row r="150" spans="1:18" s="391" customFormat="1" ht="60.75" customHeight="1">
      <c r="A150" s="416"/>
      <c r="B150" s="426"/>
      <c r="C150" s="419"/>
      <c r="D150" s="419"/>
      <c r="E150" s="419"/>
      <c r="F150" s="419"/>
      <c r="G150" s="419"/>
      <c r="H150" s="419"/>
      <c r="I150" s="419"/>
      <c r="J150" s="419"/>
      <c r="K150" s="509"/>
      <c r="L150" s="420" t="s">
        <v>98</v>
      </c>
      <c r="M150" s="525">
        <v>15</v>
      </c>
      <c r="N150" s="444"/>
      <c r="O150" s="421">
        <v>15</v>
      </c>
      <c r="P150" s="803"/>
      <c r="Q150" s="573"/>
    </row>
    <row r="151" spans="1:18" s="391" customFormat="1" ht="96" customHeight="1">
      <c r="A151" s="527"/>
      <c r="B151" s="528"/>
      <c r="C151" s="419"/>
      <c r="D151" s="419"/>
      <c r="E151" s="419"/>
      <c r="F151" s="419"/>
      <c r="G151" s="419"/>
      <c r="H151" s="419"/>
      <c r="I151" s="419"/>
      <c r="J151" s="419"/>
      <c r="K151" s="509"/>
      <c r="L151" s="426" t="s">
        <v>423</v>
      </c>
      <c r="M151" s="529"/>
      <c r="N151" s="440"/>
      <c r="O151" s="529">
        <v>5313.1</v>
      </c>
      <c r="P151" s="401"/>
      <c r="Q151" s="573"/>
    </row>
    <row r="152" spans="1:18" s="391" customFormat="1" ht="144.75" customHeight="1">
      <c r="A152" s="485" t="s">
        <v>47</v>
      </c>
      <c r="B152" s="432" t="s">
        <v>78</v>
      </c>
      <c r="C152" s="429">
        <v>390</v>
      </c>
      <c r="D152" s="429">
        <v>608.70000000000005</v>
      </c>
      <c r="E152" s="429">
        <v>3275</v>
      </c>
      <c r="F152" s="429">
        <f>C152+D152+E152</f>
        <v>4273.7</v>
      </c>
      <c r="G152" s="429">
        <v>390</v>
      </c>
      <c r="H152" s="429">
        <v>608.70000000000005</v>
      </c>
      <c r="I152" s="429">
        <v>3275</v>
      </c>
      <c r="J152" s="429">
        <f>I152+H152+G152</f>
        <v>4273.7</v>
      </c>
      <c r="K152" s="430">
        <f>J152*100/F152</f>
        <v>100</v>
      </c>
      <c r="L152" s="431" t="s">
        <v>361</v>
      </c>
      <c r="M152" s="389">
        <v>2741.2</v>
      </c>
      <c r="N152" s="390"/>
      <c r="O152" s="389">
        <v>4273.7</v>
      </c>
      <c r="P152" s="571"/>
      <c r="Q152" s="573"/>
    </row>
    <row r="153" spans="1:18" s="391" customFormat="1" ht="271.5" customHeight="1">
      <c r="A153" s="784" t="s">
        <v>49</v>
      </c>
      <c r="B153" s="786" t="s">
        <v>87</v>
      </c>
      <c r="C153" s="547">
        <v>2688.3</v>
      </c>
      <c r="D153" s="547">
        <v>817</v>
      </c>
      <c r="E153" s="614"/>
      <c r="F153" s="547">
        <f>E153+D153+C153</f>
        <v>3505.3</v>
      </c>
      <c r="G153" s="788">
        <v>2672.1</v>
      </c>
      <c r="H153" s="788">
        <v>810.2</v>
      </c>
      <c r="I153" s="725"/>
      <c r="J153" s="788">
        <f>I153+H153+G153</f>
        <v>3482.3</v>
      </c>
      <c r="K153" s="727">
        <f>J153*100/F153</f>
        <v>99.343850740307531</v>
      </c>
      <c r="L153" s="565" t="s">
        <v>424</v>
      </c>
      <c r="M153" s="511">
        <f>152.6+73.5+1208.5+2.5+37.2+7.5+71.3+3.9+205.2+0.1</f>
        <v>1762.3</v>
      </c>
      <c r="N153" s="763">
        <f>M153+M154</f>
        <v>2234.1999999999998</v>
      </c>
      <c r="O153" s="511">
        <f>673.01+60.7+630.7+879.13+13.7+137.56+177.2+4.4+6+88.3+1.4</f>
        <v>2672.1</v>
      </c>
      <c r="P153" s="743">
        <f>O153+O154</f>
        <v>3482.3</v>
      </c>
      <c r="Q153" s="802">
        <f>J153-P153</f>
        <v>0</v>
      </c>
    </row>
    <row r="154" spans="1:18" s="391" customFormat="1" ht="217.5" customHeight="1">
      <c r="A154" s="785"/>
      <c r="B154" s="787"/>
      <c r="C154" s="507"/>
      <c r="D154" s="507"/>
      <c r="E154" s="615"/>
      <c r="F154" s="507"/>
      <c r="G154" s="789"/>
      <c r="H154" s="789"/>
      <c r="I154" s="726"/>
      <c r="J154" s="789"/>
      <c r="K154" s="761"/>
      <c r="L154" s="616" t="s">
        <v>493</v>
      </c>
      <c r="M154" s="421">
        <v>471.9</v>
      </c>
      <c r="N154" s="765"/>
      <c r="O154" s="421">
        <f>657.77+34.1+10.99+65.3+39.27+0.84+1.35+0.58</f>
        <v>810.2</v>
      </c>
      <c r="P154" s="775"/>
      <c r="Q154" s="802"/>
    </row>
    <row r="155" spans="1:18" s="391" customFormat="1" ht="142.5" customHeight="1">
      <c r="A155" s="480" t="s">
        <v>50</v>
      </c>
      <c r="B155" s="432" t="s">
        <v>79</v>
      </c>
      <c r="C155" s="429">
        <f t="shared" ref="C155:J155" si="5">C156+C157+C158</f>
        <v>30161.3</v>
      </c>
      <c r="D155" s="429">
        <f t="shared" si="5"/>
        <v>36856.199999999997</v>
      </c>
      <c r="E155" s="429">
        <f t="shared" si="5"/>
        <v>136.9</v>
      </c>
      <c r="F155" s="429">
        <f t="shared" si="5"/>
        <v>67154.399999999994</v>
      </c>
      <c r="G155" s="429">
        <f t="shared" si="5"/>
        <v>28337.4</v>
      </c>
      <c r="H155" s="429">
        <f t="shared" si="5"/>
        <v>18588.3</v>
      </c>
      <c r="I155" s="429">
        <f t="shared" si="5"/>
        <v>136.9</v>
      </c>
      <c r="J155" s="429">
        <f t="shared" si="5"/>
        <v>47062.6</v>
      </c>
      <c r="K155" s="430">
        <f t="shared" ref="K155:K160" si="6">J155*100/F155</f>
        <v>70.081186042910076</v>
      </c>
      <c r="L155" s="617"/>
      <c r="M155" s="511"/>
      <c r="N155" s="486" t="e">
        <f>M156+#REF!+M158</f>
        <v>#REF!</v>
      </c>
      <c r="O155" s="389"/>
      <c r="P155" s="571"/>
      <c r="Q155" s="573"/>
    </row>
    <row r="156" spans="1:18" s="391" customFormat="1" ht="403.5" customHeight="1">
      <c r="A156" s="790" t="s">
        <v>51</v>
      </c>
      <c r="B156" s="463" t="s">
        <v>14</v>
      </c>
      <c r="C156" s="723">
        <v>11754.3</v>
      </c>
      <c r="D156" s="723">
        <v>36856.199999999997</v>
      </c>
      <c r="E156" s="723"/>
      <c r="F156" s="725">
        <f>E156+D156+C156</f>
        <v>48610.5</v>
      </c>
      <c r="G156" s="723">
        <v>10433.4</v>
      </c>
      <c r="H156" s="723">
        <v>18588.3</v>
      </c>
      <c r="I156" s="723"/>
      <c r="J156" s="725">
        <f>I156+H156+G156</f>
        <v>29021.699999999997</v>
      </c>
      <c r="K156" s="801">
        <f t="shared" si="6"/>
        <v>59.702533403277059</v>
      </c>
      <c r="L156" s="729" t="s">
        <v>502</v>
      </c>
      <c r="M156" s="557">
        <f>38.1+140+20</f>
        <v>198.1</v>
      </c>
      <c r="N156" s="444"/>
      <c r="O156" s="511">
        <f>318+5000+302+11916.9+21.4+10975.7+78.7+265+144</f>
        <v>29021.700000000004</v>
      </c>
      <c r="P156" s="558">
        <f>O156+O158+O159</f>
        <v>47062.600000000013</v>
      </c>
      <c r="Q156" s="571">
        <f>J155-P156</f>
        <v>0</v>
      </c>
      <c r="R156" s="487"/>
    </row>
    <row r="157" spans="1:18" s="391" customFormat="1" ht="45.75" customHeight="1">
      <c r="A157" s="791"/>
      <c r="B157" s="465"/>
      <c r="C157" s="724"/>
      <c r="D157" s="724"/>
      <c r="E157" s="724"/>
      <c r="F157" s="726"/>
      <c r="G157" s="724"/>
      <c r="H157" s="724"/>
      <c r="I157" s="724"/>
      <c r="J157" s="726"/>
      <c r="K157" s="761"/>
      <c r="L157" s="730"/>
      <c r="M157" s="525"/>
      <c r="N157" s="444"/>
      <c r="O157" s="525"/>
      <c r="P157" s="563"/>
      <c r="Q157" s="573"/>
    </row>
    <row r="158" spans="1:18" ht="177.75" customHeight="1">
      <c r="A158" s="794" t="s">
        <v>52</v>
      </c>
      <c r="B158" s="751" t="s">
        <v>5</v>
      </c>
      <c r="C158" s="723">
        <v>18407</v>
      </c>
      <c r="D158" s="723"/>
      <c r="E158" s="723">
        <v>136.9</v>
      </c>
      <c r="F158" s="725">
        <f>E158+D158+C158</f>
        <v>18543.900000000001</v>
      </c>
      <c r="G158" s="723">
        <v>17904</v>
      </c>
      <c r="H158" s="723"/>
      <c r="I158" s="723">
        <v>136.9</v>
      </c>
      <c r="J158" s="725">
        <f>I158+H158+G158</f>
        <v>18040.900000000001</v>
      </c>
      <c r="K158" s="727">
        <f t="shared" si="6"/>
        <v>97.287517728201735</v>
      </c>
      <c r="L158" s="388" t="s">
        <v>494</v>
      </c>
      <c r="M158" s="421">
        <f>8128.45+41.23+2+2331.96+81.6+206.1+77.1+417.1+153.1+243.1+88.56+2.3+3.1</f>
        <v>11775.7</v>
      </c>
      <c r="N158" s="514"/>
      <c r="O158" s="529">
        <f>12252.2+26.9+0.4+3600.6+111.5+300+135.3+641.3+267.8+164.3+381.9+1.8+0.4+4.4+15.2</f>
        <v>17904.000000000004</v>
      </c>
      <c r="P158" s="618"/>
    </row>
    <row r="159" spans="1:18" ht="142.5" customHeight="1">
      <c r="A159" s="795"/>
      <c r="B159" s="752"/>
      <c r="C159" s="724"/>
      <c r="D159" s="724"/>
      <c r="E159" s="724"/>
      <c r="F159" s="726"/>
      <c r="G159" s="724"/>
      <c r="H159" s="724"/>
      <c r="I159" s="724"/>
      <c r="J159" s="726"/>
      <c r="K159" s="728"/>
      <c r="L159" s="452" t="s">
        <v>503</v>
      </c>
      <c r="M159" s="529"/>
      <c r="N159" s="440"/>
      <c r="O159" s="421">
        <f>105.1+31.8</f>
        <v>136.9</v>
      </c>
      <c r="P159" s="622"/>
      <c r="Q159" s="621"/>
    </row>
    <row r="160" spans="1:18" ht="91.5" customHeight="1">
      <c r="A160" s="427" t="s">
        <v>53</v>
      </c>
      <c r="B160" s="428" t="s">
        <v>80</v>
      </c>
      <c r="C160" s="429">
        <v>50</v>
      </c>
      <c r="D160" s="429"/>
      <c r="E160" s="429"/>
      <c r="F160" s="429">
        <f>E160+D160+C160</f>
        <v>50</v>
      </c>
      <c r="G160" s="429">
        <v>47.9</v>
      </c>
      <c r="H160" s="429"/>
      <c r="I160" s="429"/>
      <c r="J160" s="429">
        <f>SUM(G160:I160)</f>
        <v>47.9</v>
      </c>
      <c r="K160" s="430">
        <f t="shared" si="6"/>
        <v>95.8</v>
      </c>
      <c r="L160" s="452" t="s">
        <v>384</v>
      </c>
    </row>
    <row r="161" spans="1:26" s="456" customFormat="1" ht="40.5" customHeight="1">
      <c r="A161" s="792" t="s">
        <v>54</v>
      </c>
      <c r="B161" s="793"/>
      <c r="C161" s="535">
        <f t="shared" ref="C161:J161" si="7">C136+C155+C153+C119+C152+C126+C127+C66+C108+C132+C95+C67+C18+C144+C160+C17+C7</f>
        <v>878117.1</v>
      </c>
      <c r="D161" s="535">
        <f t="shared" si="7"/>
        <v>1196395.5</v>
      </c>
      <c r="E161" s="535">
        <f t="shared" si="7"/>
        <v>170480.5</v>
      </c>
      <c r="F161" s="535">
        <f t="shared" si="7"/>
        <v>2244993.1000000006</v>
      </c>
      <c r="G161" s="535">
        <f t="shared" si="7"/>
        <v>813138.50000000012</v>
      </c>
      <c r="H161" s="535">
        <f t="shared" si="7"/>
        <v>1109983.2</v>
      </c>
      <c r="I161" s="535">
        <f t="shared" si="7"/>
        <v>170454</v>
      </c>
      <c r="J161" s="535">
        <f t="shared" si="7"/>
        <v>2093575.7</v>
      </c>
      <c r="K161" s="536">
        <f>J161/F161*100</f>
        <v>93.255328936200272</v>
      </c>
      <c r="L161" s="537"/>
      <c r="M161" s="389"/>
      <c r="N161" s="390"/>
      <c r="O161" s="389"/>
      <c r="P161" s="571"/>
      <c r="Q161" s="573"/>
      <c r="R161" s="488"/>
      <c r="S161" s="488"/>
      <c r="T161" s="488"/>
      <c r="U161" s="488"/>
      <c r="V161" s="488"/>
      <c r="W161" s="488"/>
      <c r="X161" s="488"/>
      <c r="Y161" s="488"/>
      <c r="Z161" s="488"/>
    </row>
    <row r="162" spans="1:26" ht="27.75" customHeight="1">
      <c r="A162" s="489"/>
      <c r="B162" s="490"/>
      <c r="C162" s="526"/>
      <c r="D162" s="526"/>
      <c r="E162" s="526"/>
      <c r="F162" s="526"/>
      <c r="G162" s="526"/>
      <c r="H162" s="526"/>
      <c r="I162" s="526"/>
      <c r="J162" s="526"/>
      <c r="K162" s="493"/>
      <c r="L162" s="489"/>
    </row>
    <row r="163" spans="1:26" ht="27.75" customHeight="1">
      <c r="A163" s="489"/>
      <c r="B163" s="490"/>
      <c r="C163" s="526"/>
      <c r="D163" s="526"/>
      <c r="E163" s="526"/>
      <c r="F163" s="526"/>
      <c r="G163" s="526"/>
      <c r="H163" s="526"/>
      <c r="I163" s="526"/>
      <c r="J163" s="526"/>
      <c r="K163" s="493"/>
      <c r="L163" s="489"/>
    </row>
    <row r="164" spans="1:26" ht="82.5" customHeight="1">
      <c r="A164" s="560" t="s">
        <v>214</v>
      </c>
      <c r="B164" s="560"/>
      <c r="C164" s="491"/>
      <c r="D164" s="491"/>
      <c r="E164" s="491"/>
      <c r="F164" s="491"/>
      <c r="G164" s="491"/>
      <c r="H164" s="491"/>
      <c r="I164" s="491"/>
      <c r="J164" s="491"/>
      <c r="K164" s="492"/>
      <c r="L164" s="489"/>
    </row>
    <row r="165" spans="1:26">
      <c r="A165" s="494" t="s">
        <v>55</v>
      </c>
      <c r="B165" s="494"/>
      <c r="C165" s="495"/>
      <c r="D165" s="491"/>
      <c r="E165" s="491"/>
      <c r="F165" s="491"/>
      <c r="G165" s="491"/>
      <c r="H165" s="491"/>
      <c r="I165" s="491"/>
      <c r="J165" s="491"/>
      <c r="K165" s="492"/>
      <c r="L165" s="489"/>
    </row>
    <row r="166" spans="1:26">
      <c r="A166" s="496" t="s">
        <v>152</v>
      </c>
      <c r="B166" s="496"/>
      <c r="C166" s="497"/>
      <c r="D166" s="498"/>
      <c r="E166" s="499"/>
      <c r="L166" s="501" t="s">
        <v>56</v>
      </c>
    </row>
    <row r="167" spans="1:26" ht="20.25">
      <c r="B167" s="502"/>
      <c r="D167" s="499"/>
      <c r="E167" s="499"/>
    </row>
    <row r="168" spans="1:26" ht="48.75" customHeight="1">
      <c r="D168" s="499"/>
      <c r="E168" s="499"/>
      <c r="L168" s="405"/>
    </row>
    <row r="169" spans="1:26">
      <c r="A169" s="392" t="s">
        <v>57</v>
      </c>
      <c r="D169" s="499"/>
      <c r="E169" s="499"/>
      <c r="L169" s="503"/>
    </row>
    <row r="170" spans="1:26">
      <c r="A170" s="392" t="s">
        <v>70</v>
      </c>
      <c r="D170" s="499"/>
      <c r="E170" s="499"/>
      <c r="L170" s="503"/>
    </row>
    <row r="171" spans="1:26" s="389" customFormat="1">
      <c r="A171" s="392" t="s">
        <v>360</v>
      </c>
      <c r="B171" s="392"/>
      <c r="C171" s="395"/>
      <c r="D171" s="499"/>
      <c r="E171" s="499"/>
      <c r="F171" s="396"/>
      <c r="G171" s="395"/>
      <c r="H171" s="395"/>
      <c r="I171" s="395"/>
      <c r="J171" s="396"/>
      <c r="K171" s="500"/>
      <c r="L171" s="503"/>
      <c r="N171" s="390"/>
      <c r="P171" s="571"/>
      <c r="Q171" s="573"/>
      <c r="R171" s="391"/>
      <c r="S171" s="391"/>
      <c r="T171" s="391"/>
      <c r="U171" s="391"/>
      <c r="V171" s="391"/>
      <c r="W171" s="391"/>
      <c r="X171" s="391"/>
      <c r="Y171" s="391"/>
      <c r="Z171" s="391"/>
    </row>
    <row r="172" spans="1:26" s="389" customFormat="1" ht="24.75" customHeight="1">
      <c r="A172" s="783" t="s">
        <v>110</v>
      </c>
      <c r="B172" s="783"/>
      <c r="C172" s="395"/>
      <c r="D172" s="499"/>
      <c r="E172" s="499"/>
      <c r="F172" s="396"/>
      <c r="G172" s="395"/>
      <c r="H172" s="395"/>
      <c r="I172" s="395"/>
      <c r="J172" s="396"/>
      <c r="K172" s="500"/>
      <c r="L172" s="504"/>
      <c r="N172" s="390"/>
      <c r="P172" s="571"/>
      <c r="Q172" s="573"/>
      <c r="R172" s="391"/>
      <c r="S172" s="391"/>
      <c r="T172" s="391"/>
      <c r="U172" s="391"/>
      <c r="V172" s="391"/>
      <c r="W172" s="391"/>
      <c r="X172" s="391"/>
      <c r="Y172" s="391"/>
      <c r="Z172" s="391"/>
    </row>
    <row r="173" spans="1:26" s="389" customFormat="1">
      <c r="A173" s="392"/>
      <c r="B173" s="392"/>
      <c r="C173" s="395"/>
      <c r="D173" s="499"/>
      <c r="E173" s="499"/>
      <c r="F173" s="396"/>
      <c r="G173" s="395"/>
      <c r="H173" s="395"/>
      <c r="I173" s="395"/>
      <c r="J173" s="396"/>
      <c r="K173" s="500"/>
      <c r="L173" s="392"/>
      <c r="N173" s="390"/>
      <c r="P173" s="571"/>
      <c r="Q173" s="573"/>
      <c r="R173" s="391"/>
      <c r="S173" s="391"/>
      <c r="T173" s="391"/>
      <c r="U173" s="391"/>
      <c r="V173" s="391"/>
      <c r="W173" s="391"/>
      <c r="X173" s="391"/>
      <c r="Y173" s="391"/>
      <c r="Z173" s="391"/>
    </row>
    <row r="174" spans="1:26" s="389" customFormat="1">
      <c r="A174" s="392"/>
      <c r="B174" s="392"/>
      <c r="C174" s="395"/>
      <c r="D174" s="499"/>
      <c r="E174" s="499"/>
      <c r="F174" s="396"/>
      <c r="G174" s="395"/>
      <c r="H174" s="395"/>
      <c r="I174" s="395"/>
      <c r="J174" s="396"/>
      <c r="K174" s="500"/>
      <c r="L174" s="392"/>
      <c r="N174" s="390"/>
      <c r="P174" s="571"/>
      <c r="Q174" s="573"/>
      <c r="R174" s="391"/>
      <c r="S174" s="391"/>
      <c r="T174" s="391"/>
      <c r="U174" s="391"/>
      <c r="V174" s="391"/>
      <c r="W174" s="391"/>
      <c r="X174" s="391"/>
      <c r="Y174" s="391"/>
      <c r="Z174" s="391"/>
    </row>
    <row r="175" spans="1:26" s="389" customFormat="1">
      <c r="A175" s="392"/>
      <c r="B175" s="392"/>
      <c r="C175" s="395"/>
      <c r="D175" s="499"/>
      <c r="E175" s="499"/>
      <c r="F175" s="396"/>
      <c r="G175" s="395"/>
      <c r="H175" s="395"/>
      <c r="I175" s="395"/>
      <c r="J175" s="396"/>
      <c r="K175" s="500"/>
      <c r="L175" s="503"/>
      <c r="N175" s="390"/>
      <c r="P175" s="571"/>
      <c r="Q175" s="573"/>
      <c r="R175" s="391"/>
      <c r="S175" s="391"/>
      <c r="T175" s="391"/>
      <c r="U175" s="391"/>
      <c r="V175" s="391"/>
      <c r="W175" s="391"/>
      <c r="X175" s="391"/>
      <c r="Y175" s="391"/>
      <c r="Z175" s="391"/>
    </row>
    <row r="176" spans="1:26" s="389" customFormat="1">
      <c r="A176" s="392"/>
      <c r="B176" s="392"/>
      <c r="C176" s="395"/>
      <c r="D176" s="499"/>
      <c r="E176" s="499"/>
      <c r="F176" s="396"/>
      <c r="G176" s="395"/>
      <c r="H176" s="395"/>
      <c r="I176" s="395"/>
      <c r="J176" s="396"/>
      <c r="K176" s="500"/>
      <c r="L176" s="503"/>
      <c r="N176" s="390"/>
      <c r="P176" s="571"/>
      <c r="Q176" s="573"/>
      <c r="R176" s="391"/>
      <c r="S176" s="391"/>
      <c r="T176" s="391"/>
      <c r="U176" s="391"/>
      <c r="V176" s="391"/>
      <c r="W176" s="391"/>
      <c r="X176" s="391"/>
      <c r="Y176" s="391"/>
      <c r="Z176" s="391"/>
    </row>
    <row r="177" spans="1:26" s="389" customFormat="1">
      <c r="A177" s="392"/>
      <c r="B177" s="392"/>
      <c r="C177" s="395"/>
      <c r="D177" s="499"/>
      <c r="E177" s="499"/>
      <c r="F177" s="396"/>
      <c r="G177" s="395"/>
      <c r="H177" s="395"/>
      <c r="I177" s="395"/>
      <c r="J177" s="396"/>
      <c r="K177" s="500"/>
      <c r="L177" s="392"/>
      <c r="N177" s="390"/>
      <c r="P177" s="571"/>
      <c r="Q177" s="573"/>
      <c r="R177" s="391"/>
      <c r="S177" s="391"/>
      <c r="T177" s="391"/>
      <c r="U177" s="391"/>
      <c r="V177" s="391"/>
      <c r="W177" s="391"/>
      <c r="X177" s="391"/>
      <c r="Y177" s="391"/>
      <c r="Z177" s="391"/>
    </row>
    <row r="178" spans="1:26" s="389" customFormat="1">
      <c r="A178" s="392"/>
      <c r="B178" s="392"/>
      <c r="C178" s="395"/>
      <c r="D178" s="499"/>
      <c r="E178" s="499"/>
      <c r="F178" s="396"/>
      <c r="G178" s="395"/>
      <c r="H178" s="395"/>
      <c r="I178" s="395"/>
      <c r="J178" s="396"/>
      <c r="K178" s="500"/>
      <c r="L178" s="392"/>
      <c r="N178" s="390"/>
      <c r="P178" s="571"/>
      <c r="Q178" s="573"/>
      <c r="R178" s="391"/>
      <c r="S178" s="391"/>
      <c r="T178" s="391"/>
      <c r="U178" s="391"/>
      <c r="V178" s="391"/>
      <c r="W178" s="391"/>
      <c r="X178" s="391"/>
      <c r="Y178" s="391"/>
      <c r="Z178" s="391"/>
    </row>
    <row r="179" spans="1:26" s="389" customFormat="1">
      <c r="A179" s="392"/>
      <c r="B179" s="392"/>
      <c r="C179" s="395"/>
      <c r="D179" s="499"/>
      <c r="E179" s="499"/>
      <c r="F179" s="396"/>
      <c r="G179" s="395"/>
      <c r="H179" s="395"/>
      <c r="I179" s="395"/>
      <c r="J179" s="396"/>
      <c r="K179" s="500"/>
      <c r="L179" s="392"/>
      <c r="N179" s="390"/>
      <c r="P179" s="571"/>
      <c r="Q179" s="573"/>
      <c r="R179" s="391"/>
      <c r="S179" s="391"/>
      <c r="T179" s="391"/>
      <c r="U179" s="391"/>
      <c r="V179" s="391"/>
      <c r="W179" s="391"/>
      <c r="X179" s="391"/>
      <c r="Y179" s="391"/>
      <c r="Z179" s="391"/>
    </row>
    <row r="180" spans="1:26" s="389" customFormat="1">
      <c r="A180" s="392"/>
      <c r="B180" s="392"/>
      <c r="C180" s="395"/>
      <c r="D180" s="499"/>
      <c r="E180" s="499"/>
      <c r="F180" s="396"/>
      <c r="G180" s="395"/>
      <c r="H180" s="395"/>
      <c r="I180" s="395"/>
      <c r="J180" s="396"/>
      <c r="K180" s="500"/>
      <c r="L180" s="392"/>
      <c r="N180" s="390"/>
      <c r="P180" s="571"/>
      <c r="Q180" s="573"/>
      <c r="R180" s="391"/>
      <c r="S180" s="391"/>
      <c r="T180" s="391"/>
      <c r="U180" s="391"/>
      <c r="V180" s="391"/>
      <c r="W180" s="391"/>
      <c r="X180" s="391"/>
      <c r="Y180" s="391"/>
      <c r="Z180" s="391"/>
    </row>
    <row r="181" spans="1:26" s="389" customFormat="1">
      <c r="A181" s="392"/>
      <c r="B181" s="392"/>
      <c r="C181" s="395"/>
      <c r="D181" s="499"/>
      <c r="E181" s="499"/>
      <c r="F181" s="396"/>
      <c r="G181" s="395"/>
      <c r="H181" s="395"/>
      <c r="I181" s="395"/>
      <c r="J181" s="396"/>
      <c r="K181" s="500"/>
      <c r="L181" s="392"/>
      <c r="N181" s="390"/>
      <c r="P181" s="571"/>
      <c r="Q181" s="573"/>
      <c r="R181" s="391"/>
      <c r="S181" s="391"/>
      <c r="T181" s="391"/>
      <c r="U181" s="391"/>
      <c r="V181" s="391"/>
      <c r="W181" s="391"/>
      <c r="X181" s="391"/>
      <c r="Y181" s="391"/>
      <c r="Z181" s="391"/>
    </row>
    <row r="182" spans="1:26" s="389" customFormat="1">
      <c r="A182" s="392"/>
      <c r="B182" s="392"/>
      <c r="C182" s="395"/>
      <c r="D182" s="499"/>
      <c r="E182" s="395"/>
      <c r="F182" s="396"/>
      <c r="G182" s="395"/>
      <c r="H182" s="395"/>
      <c r="I182" s="395"/>
      <c r="J182" s="396"/>
      <c r="K182" s="500"/>
      <c r="L182" s="392"/>
      <c r="N182" s="390"/>
      <c r="P182" s="571"/>
      <c r="Q182" s="573"/>
      <c r="R182" s="391"/>
      <c r="S182" s="391"/>
      <c r="T182" s="391"/>
      <c r="U182" s="391"/>
      <c r="V182" s="391"/>
      <c r="W182" s="391"/>
      <c r="X182" s="391"/>
      <c r="Y182" s="391"/>
      <c r="Z182" s="391"/>
    </row>
    <row r="183" spans="1:26" s="389" customFormat="1">
      <c r="A183" s="392"/>
      <c r="B183" s="392"/>
      <c r="C183" s="395"/>
      <c r="D183" s="499"/>
      <c r="E183" s="395"/>
      <c r="F183" s="396"/>
      <c r="G183" s="395"/>
      <c r="H183" s="395"/>
      <c r="I183" s="395"/>
      <c r="J183" s="396"/>
      <c r="K183" s="500"/>
      <c r="L183" s="392"/>
      <c r="N183" s="390"/>
      <c r="P183" s="571"/>
      <c r="Q183" s="573"/>
      <c r="R183" s="391"/>
      <c r="S183" s="391"/>
      <c r="T183" s="391"/>
      <c r="U183" s="391"/>
      <c r="V183" s="391"/>
      <c r="W183" s="391"/>
      <c r="X183" s="391"/>
      <c r="Y183" s="391"/>
      <c r="Z183" s="391"/>
    </row>
  </sheetData>
  <sheetProtection formatCells="0" formatColumns="0" formatRows="0" insertColumns="0" insertRows="0" insertHyperlinks="0" deleteColumns="0" deleteRows="0" sort="0" autoFilter="0" pivotTables="0"/>
  <mergeCells count="98">
    <mergeCell ref="P153:P154"/>
    <mergeCell ref="Q153:Q154"/>
    <mergeCell ref="P132:P134"/>
    <mergeCell ref="N137:N143"/>
    <mergeCell ref="P137:P142"/>
    <mergeCell ref="N144:N148"/>
    <mergeCell ref="P144:P150"/>
    <mergeCell ref="A132:A135"/>
    <mergeCell ref="K153:K154"/>
    <mergeCell ref="N153:N154"/>
    <mergeCell ref="B144:B146"/>
    <mergeCell ref="C132:C135"/>
    <mergeCell ref="D132:D135"/>
    <mergeCell ref="E132:E135"/>
    <mergeCell ref="F132:F135"/>
    <mergeCell ref="G132:G135"/>
    <mergeCell ref="I153:I154"/>
    <mergeCell ref="J153:J154"/>
    <mergeCell ref="H132:H135"/>
    <mergeCell ref="I132:I135"/>
    <mergeCell ref="A172:B172"/>
    <mergeCell ref="A153:A154"/>
    <mergeCell ref="B153:B154"/>
    <mergeCell ref="G153:G154"/>
    <mergeCell ref="H153:H154"/>
    <mergeCell ref="A156:A157"/>
    <mergeCell ref="C156:C157"/>
    <mergeCell ref="D156:D157"/>
    <mergeCell ref="E156:E157"/>
    <mergeCell ref="F156:F157"/>
    <mergeCell ref="G156:G157"/>
    <mergeCell ref="H156:H157"/>
    <mergeCell ref="A161:B161"/>
    <mergeCell ref="B158:B159"/>
    <mergeCell ref="A158:A159"/>
    <mergeCell ref="C158:C159"/>
    <mergeCell ref="J132:J135"/>
    <mergeCell ref="K132:K135"/>
    <mergeCell ref="R119:R125"/>
    <mergeCell ref="N119:N125"/>
    <mergeCell ref="P119:P125"/>
    <mergeCell ref="Q119:Q125"/>
    <mergeCell ref="N95:N105"/>
    <mergeCell ref="P95:P105"/>
    <mergeCell ref="N109:N110"/>
    <mergeCell ref="P109:P110"/>
    <mergeCell ref="Q109:Q110"/>
    <mergeCell ref="N111:N113"/>
    <mergeCell ref="P111:P113"/>
    <mergeCell ref="Q111:Q113"/>
    <mergeCell ref="P114:P118"/>
    <mergeCell ref="Q114:Q118"/>
    <mergeCell ref="N93:N94"/>
    <mergeCell ref="P93:P94"/>
    <mergeCell ref="Q93:Q94"/>
    <mergeCell ref="G68:G69"/>
    <mergeCell ref="H68:H69"/>
    <mergeCell ref="I68:I69"/>
    <mergeCell ref="J68:J69"/>
    <mergeCell ref="K68:K69"/>
    <mergeCell ref="N68:N69"/>
    <mergeCell ref="N74:N80"/>
    <mergeCell ref="N85:N89"/>
    <mergeCell ref="N90:N91"/>
    <mergeCell ref="Q90:Q91"/>
    <mergeCell ref="P90:P92"/>
    <mergeCell ref="A68:A69"/>
    <mergeCell ref="B68:B69"/>
    <mergeCell ref="C68:C69"/>
    <mergeCell ref="D68:D69"/>
    <mergeCell ref="E68:E69"/>
    <mergeCell ref="F68:F69"/>
    <mergeCell ref="N7:N16"/>
    <mergeCell ref="P7:P8"/>
    <mergeCell ref="P12:P14"/>
    <mergeCell ref="N19:N53"/>
    <mergeCell ref="N59:N63"/>
    <mergeCell ref="P59:P63"/>
    <mergeCell ref="A1:L1"/>
    <mergeCell ref="A2:L2"/>
    <mergeCell ref="A4:A5"/>
    <mergeCell ref="B4:B5"/>
    <mergeCell ref="C4:F4"/>
    <mergeCell ref="G4:J4"/>
    <mergeCell ref="K4:K5"/>
    <mergeCell ref="L4:L5"/>
    <mergeCell ref="I158:I159"/>
    <mergeCell ref="J158:J159"/>
    <mergeCell ref="K158:K159"/>
    <mergeCell ref="L156:L157"/>
    <mergeCell ref="D158:D159"/>
    <mergeCell ref="E158:E159"/>
    <mergeCell ref="F158:F159"/>
    <mergeCell ref="G158:G159"/>
    <mergeCell ref="H158:H159"/>
    <mergeCell ref="I156:I157"/>
    <mergeCell ref="J156:J157"/>
    <mergeCell ref="K156:K157"/>
  </mergeCells>
  <pageMargins left="0.15748031496062992" right="0.15748031496062992" top="0.43307086614173229" bottom="0.19685039370078741" header="0" footer="0"/>
  <pageSetup paperSize="9" scale="40" fitToHeight="0" orientation="landscape" r:id="rId1"/>
  <rowBreaks count="11" manualBreakCount="11">
    <brk id="15" max="12" man="1"/>
    <brk id="22" max="12" man="1"/>
    <brk id="40" max="12" man="1"/>
    <brk id="53" max="12" man="1"/>
    <brk id="63" max="12" man="1"/>
    <brk id="82" max="12" man="1"/>
    <brk id="104" max="12" man="1"/>
    <brk id="110" max="12" man="1"/>
    <brk id="122" max="12" man="1"/>
    <brk id="139" max="12" man="1"/>
    <brk id="150" max="12" man="1"/>
  </rowBreaks>
  <colBreaks count="1" manualBreakCount="1">
    <brk id="12" max="1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40"/>
  <sheetViews>
    <sheetView topLeftCell="A7" workbookViewId="0">
      <selection activeCell="A23" sqref="A23:B40"/>
    </sheetView>
  </sheetViews>
  <sheetFormatPr defaultRowHeight="15"/>
  <cols>
    <col min="1" max="1" width="17.140625" customWidth="1"/>
    <col min="2" max="2" width="29.42578125" customWidth="1"/>
    <col min="7" max="7" width="17.42578125" customWidth="1"/>
    <col min="8" max="8" width="30.5703125" customWidth="1"/>
    <col min="10" max="10" width="12.85546875" customWidth="1"/>
  </cols>
  <sheetData>
    <row r="1" spans="1:11">
      <c r="G1" t="s">
        <v>483</v>
      </c>
      <c r="H1" t="s">
        <v>483</v>
      </c>
    </row>
    <row r="2" spans="1:11">
      <c r="G2" s="586">
        <v>52456.7</v>
      </c>
      <c r="H2" s="586">
        <v>52456.7</v>
      </c>
      <c r="I2" s="586"/>
      <c r="J2" s="587"/>
      <c r="K2" s="586"/>
    </row>
    <row r="3" spans="1:11">
      <c r="A3" s="588"/>
      <c r="G3" s="586">
        <v>3643</v>
      </c>
      <c r="H3" s="586">
        <v>3643</v>
      </c>
      <c r="I3" s="586"/>
      <c r="J3" s="587"/>
      <c r="K3" s="586"/>
    </row>
    <row r="4" spans="1:11">
      <c r="A4" s="588"/>
      <c r="G4" s="586">
        <v>1433259.7</v>
      </c>
      <c r="H4" s="586">
        <v>1433259.7</v>
      </c>
      <c r="I4" s="586"/>
      <c r="J4" s="587"/>
      <c r="K4" s="586"/>
    </row>
    <row r="5" spans="1:11">
      <c r="A5" s="588"/>
      <c r="G5" s="586">
        <v>7319.9</v>
      </c>
      <c r="H5" s="586">
        <v>7319.9</v>
      </c>
      <c r="I5" s="586"/>
      <c r="J5" s="587"/>
      <c r="K5" s="586"/>
    </row>
    <row r="6" spans="1:11">
      <c r="A6" s="588"/>
      <c r="G6" s="586">
        <v>162094.20000000001</v>
      </c>
      <c r="H6" s="586">
        <v>162094.20000000001</v>
      </c>
      <c r="I6" s="586"/>
      <c r="J6" s="587"/>
      <c r="K6" s="586"/>
    </row>
    <row r="7" spans="1:11">
      <c r="A7" s="588"/>
      <c r="G7" s="586">
        <v>76089.7</v>
      </c>
      <c r="H7" s="586">
        <v>76089.7</v>
      </c>
      <c r="I7" s="586"/>
      <c r="J7" s="587"/>
      <c r="K7" s="586"/>
    </row>
    <row r="8" spans="1:11">
      <c r="A8" s="588"/>
      <c r="G8" s="586">
        <v>139820.79999999999</v>
      </c>
      <c r="H8" s="586">
        <v>139820.79999999999</v>
      </c>
      <c r="I8" s="586"/>
      <c r="J8" s="587"/>
      <c r="K8" s="586"/>
    </row>
    <row r="9" spans="1:11">
      <c r="A9" s="588"/>
      <c r="G9" s="586">
        <v>30823.9</v>
      </c>
      <c r="H9" s="586">
        <v>30824</v>
      </c>
      <c r="I9" s="586" t="s">
        <v>485</v>
      </c>
      <c r="J9" s="587"/>
      <c r="K9" s="586"/>
    </row>
    <row r="10" spans="1:11">
      <c r="A10" s="588"/>
      <c r="G10" s="586">
        <v>22.8</v>
      </c>
      <c r="H10" s="586">
        <v>22.8</v>
      </c>
      <c r="I10" s="586"/>
      <c r="J10" s="587"/>
      <c r="K10" s="586"/>
    </row>
    <row r="11" spans="1:11">
      <c r="A11" s="588"/>
      <c r="G11" s="586">
        <v>99.1</v>
      </c>
      <c r="H11" s="586">
        <v>99.1</v>
      </c>
      <c r="I11" s="586"/>
      <c r="J11" s="587"/>
      <c r="K11" s="586"/>
    </row>
    <row r="12" spans="1:11">
      <c r="A12" s="588"/>
      <c r="G12" s="586">
        <v>5505.9</v>
      </c>
      <c r="H12" s="586">
        <v>5506</v>
      </c>
      <c r="I12" s="586" t="s">
        <v>484</v>
      </c>
      <c r="J12" s="587"/>
      <c r="K12" s="586"/>
    </row>
    <row r="13" spans="1:11">
      <c r="A13" s="588"/>
      <c r="G13" s="586">
        <v>78538.7</v>
      </c>
      <c r="H13" s="586">
        <v>78538.7</v>
      </c>
      <c r="I13" s="586"/>
      <c r="J13" s="587"/>
      <c r="K13" s="586"/>
    </row>
    <row r="14" spans="1:11">
      <c r="A14" s="588"/>
      <c r="G14" s="586">
        <v>180335.2</v>
      </c>
      <c r="H14" s="586">
        <v>180335.2</v>
      </c>
      <c r="I14" s="586"/>
      <c r="J14" s="587"/>
      <c r="K14" s="586"/>
    </row>
    <row r="15" spans="1:11">
      <c r="A15" s="588"/>
      <c r="G15" s="586">
        <v>4273.7</v>
      </c>
      <c r="H15" s="586">
        <v>4273.7</v>
      </c>
      <c r="I15" s="586"/>
      <c r="J15" s="587"/>
      <c r="K15" s="586"/>
    </row>
    <row r="16" spans="1:11">
      <c r="A16" s="588"/>
      <c r="G16" s="586">
        <v>3505.3</v>
      </c>
      <c r="H16" s="586">
        <v>3505.3</v>
      </c>
      <c r="I16" s="586"/>
      <c r="J16" s="587"/>
      <c r="K16" s="586"/>
    </row>
    <row r="17" spans="1:11">
      <c r="A17" s="588"/>
      <c r="G17" s="586">
        <v>67154.399999999994</v>
      </c>
      <c r="H17" s="586">
        <v>67154.399999999994</v>
      </c>
      <c r="I17" s="586"/>
      <c r="J17" s="587"/>
      <c r="K17" s="586"/>
    </row>
    <row r="18" spans="1:11">
      <c r="G18" s="586">
        <v>50</v>
      </c>
      <c r="H18" s="586">
        <v>50</v>
      </c>
      <c r="I18" s="586"/>
      <c r="J18" s="587"/>
      <c r="K18" s="586"/>
    </row>
    <row r="19" spans="1:11">
      <c r="G19" s="589">
        <f>SUM(G2:G18)</f>
        <v>2244992.9999999995</v>
      </c>
      <c r="H19" s="590">
        <f>SUM(H2:H18)</f>
        <v>2244993.1999999997</v>
      </c>
      <c r="I19" s="586"/>
      <c r="J19" s="587"/>
      <c r="K19" s="586"/>
    </row>
    <row r="20" spans="1:11">
      <c r="G20" s="586"/>
      <c r="H20" s="586"/>
      <c r="I20" s="586"/>
      <c r="J20" s="587"/>
      <c r="K20" s="586"/>
    </row>
    <row r="21" spans="1:11">
      <c r="G21" s="586"/>
      <c r="H21" s="586"/>
      <c r="I21" s="586"/>
      <c r="J21" s="587"/>
      <c r="K21" s="586"/>
    </row>
    <row r="22" spans="1:11">
      <c r="G22" s="586"/>
      <c r="H22" s="586"/>
      <c r="I22" s="586"/>
      <c r="J22" s="586"/>
      <c r="K22" s="586"/>
    </row>
    <row r="23" spans="1:11">
      <c r="A23">
        <v>44873.5</v>
      </c>
      <c r="G23" s="586"/>
      <c r="H23" s="586"/>
      <c r="I23" s="586"/>
      <c r="J23" s="586"/>
      <c r="K23" s="586"/>
    </row>
    <row r="24" spans="1:11">
      <c r="A24">
        <v>2112</v>
      </c>
      <c r="G24" s="586"/>
      <c r="H24" s="586"/>
      <c r="I24" s="586"/>
      <c r="J24" s="586"/>
      <c r="K24" s="586"/>
    </row>
    <row r="25" spans="1:11">
      <c r="A25">
        <v>1373854.2</v>
      </c>
      <c r="G25" s="586"/>
      <c r="H25" s="586"/>
      <c r="I25" s="586"/>
      <c r="J25" s="586"/>
      <c r="K25" s="586"/>
    </row>
    <row r="26" spans="1:11">
      <c r="A26">
        <v>7020.2</v>
      </c>
    </row>
    <row r="27" spans="1:11">
      <c r="A27">
        <v>158651.20000000001</v>
      </c>
    </row>
    <row r="28" spans="1:11">
      <c r="A28">
        <v>73198.2</v>
      </c>
    </row>
    <row r="29" spans="1:11">
      <c r="A29">
        <v>134933.5</v>
      </c>
    </row>
    <row r="30" spans="1:11">
      <c r="A30">
        <v>29168.6</v>
      </c>
    </row>
    <row r="31" spans="1:11">
      <c r="A31">
        <v>22.8</v>
      </c>
    </row>
    <row r="32" spans="1:11">
      <c r="A32">
        <v>99.1</v>
      </c>
    </row>
    <row r="33" spans="1:1">
      <c r="A33">
        <v>3001</v>
      </c>
    </row>
    <row r="34" spans="1:1">
      <c r="A34">
        <v>33245.300000000003</v>
      </c>
    </row>
    <row r="35" spans="1:1">
      <c r="A35">
        <v>178529.7</v>
      </c>
    </row>
    <row r="36" spans="1:1">
      <c r="A36">
        <v>4273.7</v>
      </c>
    </row>
    <row r="37" spans="1:1">
      <c r="A37">
        <v>3482.3</v>
      </c>
    </row>
    <row r="38" spans="1:1">
      <c r="A38">
        <v>47062.6</v>
      </c>
    </row>
    <row r="39" spans="1:1">
      <c r="A39">
        <v>47.9</v>
      </c>
    </row>
    <row r="40" spans="1:1">
      <c r="A40" s="534">
        <f>SUM(A23:A39)</f>
        <v>2093575.8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Отчет</vt:lpstr>
      <vt:lpstr>Лист1</vt:lpstr>
      <vt:lpstr>Лист2</vt:lpstr>
      <vt:lpstr>Отчет за 12 месяцев (2)</vt:lpstr>
      <vt:lpstr>Отчет за 12 месяцев</vt:lpstr>
      <vt:lpstr>Лист3</vt:lpstr>
      <vt:lpstr>Отчет!Заголовки_для_печати</vt:lpstr>
      <vt:lpstr>'Отчет за 12 месяцев'!Заголовки_для_печати</vt:lpstr>
      <vt:lpstr>'Отчет за 12 месяцев (2)'!Заголовки_для_печати</vt:lpstr>
      <vt:lpstr>Отчет!Область_печати</vt:lpstr>
      <vt:lpstr>'Отчет за 12 месяцев'!Область_печати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2025-02-17T04:28:47Z</dcterms:modified>
</cp:coreProperties>
</file>