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4590" windowHeight="1875" firstSheet="4" activeTab="4"/>
  </bookViews>
  <sheets>
    <sheet name="Отчет" sheetId="14" state="hidden" r:id="rId1"/>
    <sheet name="Лист1" sheetId="20" state="hidden" r:id="rId2"/>
    <sheet name="Лист2" sheetId="22" state="hidden" r:id="rId3"/>
    <sheet name="Отчет за 12 месяцев (2)" sheetId="23" state="hidden" r:id="rId4"/>
    <sheet name="Отчет за 1 полугодие (испра (2)" sheetId="28" r:id="rId5"/>
    <sheet name="Лист3" sheetId="26" r:id="rId6"/>
  </sheets>
  <definedNames>
    <definedName name="_xlnm._FilterDatabase" localSheetId="4" hidden="1">'Отчет за 1 полугодие (испра (2)'!$C$1:$C$137</definedName>
    <definedName name="_xlnm.Print_Titles" localSheetId="0">Отчет!$4:$6</definedName>
    <definedName name="_xlnm.Print_Titles" localSheetId="4">'Отчет за 1 полугодие (испра (2)'!$4:$6</definedName>
    <definedName name="_xlnm.Print_Titles" localSheetId="3">'Отчет за 12 месяцев (2)'!$4:$6</definedName>
    <definedName name="_xlnm.Print_Area" localSheetId="0">Отчет!$A$1:$L$154</definedName>
    <definedName name="_xlnm.Print_Area" localSheetId="4">'Отчет за 1 полугодие (испра (2)'!$A$1:$M$126</definedName>
    <definedName name="_xlnm.Print_Area" localSheetId="3">'Отчет за 12 месяцев (2)'!$A$1:$L$197</definedName>
  </definedNames>
  <calcPr calcId="125725"/>
</workbook>
</file>

<file path=xl/calcChain.xml><?xml version="1.0" encoding="utf-8"?>
<calcChain xmlns="http://schemas.openxmlformats.org/spreadsheetml/2006/main">
  <c r="O72" i="28"/>
  <c r="O74"/>
  <c r="P74"/>
  <c r="K114"/>
  <c r="J114"/>
  <c r="F114"/>
  <c r="O113"/>
  <c r="P111" s="1"/>
  <c r="M113"/>
  <c r="K113"/>
  <c r="J113"/>
  <c r="F113"/>
  <c r="J112"/>
  <c r="F112"/>
  <c r="M111"/>
  <c r="N110" s="1"/>
  <c r="J111"/>
  <c r="J110" s="1"/>
  <c r="F111"/>
  <c r="K111" s="1"/>
  <c r="I110"/>
  <c r="H110"/>
  <c r="G110"/>
  <c r="E110"/>
  <c r="D110"/>
  <c r="C110"/>
  <c r="P108"/>
  <c r="O108"/>
  <c r="N108"/>
  <c r="M108"/>
  <c r="J108"/>
  <c r="K108" s="1"/>
  <c r="F108"/>
  <c r="J107"/>
  <c r="K107" s="1"/>
  <c r="F107"/>
  <c r="O102"/>
  <c r="M102"/>
  <c r="N100" s="1"/>
  <c r="Q100"/>
  <c r="P100"/>
  <c r="O100"/>
  <c r="M100"/>
  <c r="J100"/>
  <c r="K100" s="1"/>
  <c r="F100"/>
  <c r="P99"/>
  <c r="K99"/>
  <c r="J99"/>
  <c r="F99"/>
  <c r="P97"/>
  <c r="O97"/>
  <c r="N97"/>
  <c r="M97"/>
  <c r="J97"/>
  <c r="K97" s="1"/>
  <c r="F97"/>
  <c r="J96"/>
  <c r="K96" s="1"/>
  <c r="I96"/>
  <c r="I115" s="1"/>
  <c r="H96"/>
  <c r="H115" s="1"/>
  <c r="G96"/>
  <c r="G115" s="1"/>
  <c r="F96"/>
  <c r="E96"/>
  <c r="E115" s="1"/>
  <c r="D96"/>
  <c r="D115" s="1"/>
  <c r="C96"/>
  <c r="O94"/>
  <c r="M94"/>
  <c r="P93"/>
  <c r="O93"/>
  <c r="M93"/>
  <c r="N93" s="1"/>
  <c r="J93"/>
  <c r="F93"/>
  <c r="K93" s="1"/>
  <c r="K92"/>
  <c r="J92"/>
  <c r="F92"/>
  <c r="J91"/>
  <c r="K91" s="1"/>
  <c r="F91"/>
  <c r="J90"/>
  <c r="K90" s="1"/>
  <c r="F90"/>
  <c r="P89"/>
  <c r="N89"/>
  <c r="K89"/>
  <c r="J89"/>
  <c r="J88" s="1"/>
  <c r="F89"/>
  <c r="I88"/>
  <c r="H88"/>
  <c r="G88"/>
  <c r="F88"/>
  <c r="E88"/>
  <c r="D88"/>
  <c r="C88"/>
  <c r="C115" s="1"/>
  <c r="O87"/>
  <c r="M87"/>
  <c r="J87"/>
  <c r="F87"/>
  <c r="K87" s="1"/>
  <c r="O86"/>
  <c r="M86"/>
  <c r="M84"/>
  <c r="Q82"/>
  <c r="P82"/>
  <c r="O82"/>
  <c r="N82"/>
  <c r="M82"/>
  <c r="K82"/>
  <c r="J82"/>
  <c r="F82"/>
  <c r="O81"/>
  <c r="O80"/>
  <c r="O77"/>
  <c r="P77" s="1"/>
  <c r="N77"/>
  <c r="M77"/>
  <c r="K77"/>
  <c r="J77"/>
  <c r="F77"/>
  <c r="O76"/>
  <c r="M76"/>
  <c r="O75"/>
  <c r="N74"/>
  <c r="M74"/>
  <c r="J74"/>
  <c r="K74" s="1"/>
  <c r="F74"/>
  <c r="P72"/>
  <c r="M72"/>
  <c r="N72" s="1"/>
  <c r="J72"/>
  <c r="Q72" s="1"/>
  <c r="F72"/>
  <c r="F71" s="1"/>
  <c r="I71"/>
  <c r="H71"/>
  <c r="G71"/>
  <c r="E71"/>
  <c r="D71"/>
  <c r="C71"/>
  <c r="O70"/>
  <c r="O69"/>
  <c r="M69"/>
  <c r="N61" s="1"/>
  <c r="O68"/>
  <c r="O67"/>
  <c r="M67"/>
  <c r="O66"/>
  <c r="P61" s="1"/>
  <c r="M66"/>
  <c r="O65"/>
  <c r="O64"/>
  <c r="O63"/>
  <c r="O62"/>
  <c r="M62"/>
  <c r="O61"/>
  <c r="M61"/>
  <c r="K61"/>
  <c r="J61"/>
  <c r="F61"/>
  <c r="O60"/>
  <c r="M60"/>
  <c r="R59"/>
  <c r="P59"/>
  <c r="Q59" s="1"/>
  <c r="O59"/>
  <c r="M59"/>
  <c r="N59" s="1"/>
  <c r="K59"/>
  <c r="J59"/>
  <c r="F59"/>
  <c r="O58"/>
  <c r="M58"/>
  <c r="O57"/>
  <c r="P57" s="1"/>
  <c r="N57"/>
  <c r="M57"/>
  <c r="J57"/>
  <c r="K57" s="1"/>
  <c r="F57"/>
  <c r="O56"/>
  <c r="M56"/>
  <c r="O55"/>
  <c r="M55"/>
  <c r="N53" s="1"/>
  <c r="O54"/>
  <c r="P53"/>
  <c r="Q53" s="1"/>
  <c r="O53"/>
  <c r="K53"/>
  <c r="J53"/>
  <c r="R53" s="1"/>
  <c r="F53"/>
  <c r="O52"/>
  <c r="O50"/>
  <c r="M50"/>
  <c r="O49"/>
  <c r="M49"/>
  <c r="O48"/>
  <c r="O47"/>
  <c r="P45" s="1"/>
  <c r="Q45" s="1"/>
  <c r="M47"/>
  <c r="O46"/>
  <c r="M46"/>
  <c r="O45"/>
  <c r="M45"/>
  <c r="N45" s="1"/>
  <c r="J45"/>
  <c r="F45"/>
  <c r="K45" s="1"/>
  <c r="O44"/>
  <c r="P43" s="1"/>
  <c r="M44"/>
  <c r="N43" s="1"/>
  <c r="O43"/>
  <c r="M43"/>
  <c r="J43"/>
  <c r="K43" s="1"/>
  <c r="F43"/>
  <c r="I42"/>
  <c r="H42"/>
  <c r="G42"/>
  <c r="F42"/>
  <c r="E42"/>
  <c r="D42"/>
  <c r="C42"/>
  <c r="O41"/>
  <c r="M41"/>
  <c r="J41"/>
  <c r="F41"/>
  <c r="K41" s="1"/>
  <c r="O40"/>
  <c r="M40"/>
  <c r="J40"/>
  <c r="J15" s="1"/>
  <c r="F40"/>
  <c r="O39"/>
  <c r="P35" s="1"/>
  <c r="O38"/>
  <c r="O37"/>
  <c r="M37"/>
  <c r="O35"/>
  <c r="M35"/>
  <c r="N35" s="1"/>
  <c r="J35"/>
  <c r="F35"/>
  <c r="K35" s="1"/>
  <c r="O34"/>
  <c r="M34"/>
  <c r="O33"/>
  <c r="M33"/>
  <c r="O32"/>
  <c r="M32"/>
  <c r="O31"/>
  <c r="M31"/>
  <c r="O30"/>
  <c r="O29"/>
  <c r="M29"/>
  <c r="O28"/>
  <c r="M28"/>
  <c r="O26"/>
  <c r="M26"/>
  <c r="O24"/>
  <c r="O23"/>
  <c r="M23"/>
  <c r="O22"/>
  <c r="M22"/>
  <c r="O21"/>
  <c r="M21"/>
  <c r="O20"/>
  <c r="M20"/>
  <c r="O19"/>
  <c r="M19"/>
  <c r="O18"/>
  <c r="O16"/>
  <c r="P16" s="1"/>
  <c r="M16"/>
  <c r="N16" s="1"/>
  <c r="K16"/>
  <c r="J16"/>
  <c r="F16"/>
  <c r="I15"/>
  <c r="H15"/>
  <c r="G15"/>
  <c r="E15"/>
  <c r="D15"/>
  <c r="C15"/>
  <c r="P14"/>
  <c r="J14"/>
  <c r="F14"/>
  <c r="K14" s="1"/>
  <c r="O12"/>
  <c r="M12"/>
  <c r="O10"/>
  <c r="P10" s="1"/>
  <c r="M10"/>
  <c r="O9"/>
  <c r="O8"/>
  <c r="P7" s="1"/>
  <c r="M8"/>
  <c r="N7" s="1"/>
  <c r="R7"/>
  <c r="Q7"/>
  <c r="M7"/>
  <c r="K7"/>
  <c r="J7"/>
  <c r="F7"/>
  <c r="A15" i="26"/>
  <c r="B16" s="1"/>
  <c r="K110" i="28" l="1"/>
  <c r="Q111"/>
  <c r="F115"/>
  <c r="Q77"/>
  <c r="Q61"/>
  <c r="R61"/>
  <c r="K88"/>
  <c r="Q89"/>
  <c r="K15"/>
  <c r="Q16"/>
  <c r="F15"/>
  <c r="J115"/>
  <c r="Q57"/>
  <c r="Q74"/>
  <c r="K72"/>
  <c r="F110"/>
  <c r="J42"/>
  <c r="K42" s="1"/>
  <c r="K40"/>
  <c r="Q43"/>
  <c r="J71"/>
  <c r="K71" s="1"/>
  <c r="Q108"/>
  <c r="K115" l="1"/>
  <c r="J70" i="23" l="1"/>
  <c r="J188"/>
  <c r="H82"/>
  <c r="J82" s="1"/>
  <c r="H17"/>
  <c r="G17"/>
  <c r="G181"/>
  <c r="G161"/>
  <c r="G148"/>
  <c r="H148"/>
  <c r="J148"/>
  <c r="Q148" s="1"/>
  <c r="G131"/>
  <c r="J131" s="1"/>
  <c r="Q131" s="1"/>
  <c r="C131"/>
  <c r="H126"/>
  <c r="H120"/>
  <c r="H123"/>
  <c r="G126"/>
  <c r="J187"/>
  <c r="F187"/>
  <c r="J183"/>
  <c r="I183"/>
  <c r="H183"/>
  <c r="G183"/>
  <c r="F183"/>
  <c r="E183"/>
  <c r="D183"/>
  <c r="C183"/>
  <c r="J180"/>
  <c r="P180" s="1"/>
  <c r="F180"/>
  <c r="P179"/>
  <c r="O179"/>
  <c r="M179"/>
  <c r="K179"/>
  <c r="J179"/>
  <c r="F179"/>
  <c r="J178"/>
  <c r="F178"/>
  <c r="F172" s="1"/>
  <c r="O176"/>
  <c r="O174"/>
  <c r="P173" s="1"/>
  <c r="Q174" s="1"/>
  <c r="M173"/>
  <c r="N172" s="1"/>
  <c r="K173"/>
  <c r="J173"/>
  <c r="J172" s="1"/>
  <c r="K172" s="1"/>
  <c r="F173"/>
  <c r="I172"/>
  <c r="H172"/>
  <c r="G172"/>
  <c r="E172"/>
  <c r="D172"/>
  <c r="C172"/>
  <c r="P170"/>
  <c r="O170"/>
  <c r="N170"/>
  <c r="M170"/>
  <c r="K170"/>
  <c r="J170"/>
  <c r="Q170" s="1"/>
  <c r="F170"/>
  <c r="K169"/>
  <c r="J169"/>
  <c r="F169"/>
  <c r="O168"/>
  <c r="M168"/>
  <c r="O164"/>
  <c r="O163"/>
  <c r="M163"/>
  <c r="P161"/>
  <c r="O161"/>
  <c r="M161"/>
  <c r="N161" s="1"/>
  <c r="K161"/>
  <c r="J161"/>
  <c r="Q161" s="1"/>
  <c r="H161"/>
  <c r="F161"/>
  <c r="J160"/>
  <c r="P160" s="1"/>
  <c r="F160"/>
  <c r="K160" s="1"/>
  <c r="O154"/>
  <c r="O153"/>
  <c r="M153"/>
  <c r="O152"/>
  <c r="M152"/>
  <c r="O151"/>
  <c r="O150"/>
  <c r="M150"/>
  <c r="P148"/>
  <c r="O148"/>
  <c r="N148"/>
  <c r="M148"/>
  <c r="F148"/>
  <c r="I147"/>
  <c r="H147"/>
  <c r="G147"/>
  <c r="E147"/>
  <c r="E181" s="1"/>
  <c r="D147"/>
  <c r="D181" s="1"/>
  <c r="D188" s="1"/>
  <c r="C147"/>
  <c r="O145"/>
  <c r="M145"/>
  <c r="O144"/>
  <c r="M144"/>
  <c r="O143"/>
  <c r="P143" s="1"/>
  <c r="M143"/>
  <c r="N143" s="1"/>
  <c r="J143"/>
  <c r="K143" s="1"/>
  <c r="F143"/>
  <c r="P142"/>
  <c r="K142"/>
  <c r="J142"/>
  <c r="F142"/>
  <c r="O141"/>
  <c r="J141"/>
  <c r="K141" s="1"/>
  <c r="F141"/>
  <c r="F138" s="1"/>
  <c r="K140"/>
  <c r="J140"/>
  <c r="P140" s="1"/>
  <c r="F140"/>
  <c r="P139"/>
  <c r="O139"/>
  <c r="N139"/>
  <c r="J139"/>
  <c r="K139" s="1"/>
  <c r="F139"/>
  <c r="J138"/>
  <c r="K138" s="1"/>
  <c r="I138"/>
  <c r="H138"/>
  <c r="G138"/>
  <c r="E138"/>
  <c r="D138"/>
  <c r="C138"/>
  <c r="O137"/>
  <c r="M137"/>
  <c r="J137"/>
  <c r="K137" s="1"/>
  <c r="F137"/>
  <c r="O136"/>
  <c r="M136"/>
  <c r="O135"/>
  <c r="O133"/>
  <c r="M133"/>
  <c r="O131"/>
  <c r="P131" s="1"/>
  <c r="M131"/>
  <c r="N131" s="1"/>
  <c r="F131"/>
  <c r="O128"/>
  <c r="M128"/>
  <c r="P126"/>
  <c r="O126"/>
  <c r="M126"/>
  <c r="N126" s="1"/>
  <c r="G120"/>
  <c r="F126"/>
  <c r="O125"/>
  <c r="M125"/>
  <c r="O124"/>
  <c r="P123" s="1"/>
  <c r="M124"/>
  <c r="N123" s="1"/>
  <c r="O123"/>
  <c r="M123"/>
  <c r="J123"/>
  <c r="K123" s="1"/>
  <c r="F123"/>
  <c r="F120" s="1"/>
  <c r="O121"/>
  <c r="P121" s="1"/>
  <c r="N121"/>
  <c r="M121"/>
  <c r="J121"/>
  <c r="F121"/>
  <c r="I120"/>
  <c r="E120"/>
  <c r="D120"/>
  <c r="C120"/>
  <c r="O119"/>
  <c r="M119"/>
  <c r="O118"/>
  <c r="O117"/>
  <c r="M117"/>
  <c r="N106" s="1"/>
  <c r="O115"/>
  <c r="P115" s="1"/>
  <c r="M115"/>
  <c r="O114"/>
  <c r="O113"/>
  <c r="O112"/>
  <c r="M112"/>
  <c r="O111"/>
  <c r="M111"/>
  <c r="O110"/>
  <c r="M110"/>
  <c r="O109"/>
  <c r="O108"/>
  <c r="O107"/>
  <c r="Q106" s="1"/>
  <c r="R106" s="1"/>
  <c r="M107"/>
  <c r="O106"/>
  <c r="M106"/>
  <c r="J106"/>
  <c r="K106" s="1"/>
  <c r="F106"/>
  <c r="O105"/>
  <c r="M105"/>
  <c r="O104"/>
  <c r="P104" s="1"/>
  <c r="Q104" s="1"/>
  <c r="N104"/>
  <c r="M104"/>
  <c r="K104"/>
  <c r="J104"/>
  <c r="F104"/>
  <c r="O103"/>
  <c r="M103"/>
  <c r="O102"/>
  <c r="P102" s="1"/>
  <c r="Q102" s="1"/>
  <c r="M102"/>
  <c r="N102" s="1"/>
  <c r="K102"/>
  <c r="J102"/>
  <c r="F102"/>
  <c r="O101"/>
  <c r="M101"/>
  <c r="O100"/>
  <c r="O99"/>
  <c r="P98"/>
  <c r="O98"/>
  <c r="Q97" s="1"/>
  <c r="M98"/>
  <c r="N97" s="1"/>
  <c r="J97"/>
  <c r="R97" s="1"/>
  <c r="F97"/>
  <c r="O96"/>
  <c r="O94"/>
  <c r="M94"/>
  <c r="O91"/>
  <c r="O90"/>
  <c r="M90"/>
  <c r="O89"/>
  <c r="M89"/>
  <c r="O88"/>
  <c r="M88"/>
  <c r="O87"/>
  <c r="M87"/>
  <c r="O86"/>
  <c r="M86"/>
  <c r="O83"/>
  <c r="M83"/>
  <c r="P82"/>
  <c r="O82"/>
  <c r="M82"/>
  <c r="N82" s="1"/>
  <c r="F82"/>
  <c r="O78"/>
  <c r="M78"/>
  <c r="O77"/>
  <c r="M77"/>
  <c r="O74"/>
  <c r="M74"/>
  <c r="O72"/>
  <c r="M72"/>
  <c r="P71"/>
  <c r="O71"/>
  <c r="M71"/>
  <c r="N71" s="1"/>
  <c r="J71"/>
  <c r="K71" s="1"/>
  <c r="F71"/>
  <c r="I70"/>
  <c r="G70"/>
  <c r="F70"/>
  <c r="E70"/>
  <c r="D70"/>
  <c r="C70"/>
  <c r="C181" s="1"/>
  <c r="C188" s="1"/>
  <c r="O69"/>
  <c r="O68"/>
  <c r="P68" s="1"/>
  <c r="M68"/>
  <c r="K68"/>
  <c r="J68"/>
  <c r="Q68" s="1"/>
  <c r="G68"/>
  <c r="F68"/>
  <c r="O65"/>
  <c r="M65"/>
  <c r="K65"/>
  <c r="J65"/>
  <c r="F65"/>
  <c r="O64"/>
  <c r="O63"/>
  <c r="M63"/>
  <c r="O62"/>
  <c r="P58" s="1"/>
  <c r="M62"/>
  <c r="O60"/>
  <c r="M60"/>
  <c r="O59"/>
  <c r="M59"/>
  <c r="O58"/>
  <c r="M58"/>
  <c r="N58" s="1"/>
  <c r="J58"/>
  <c r="F58"/>
  <c r="K58" s="1"/>
  <c r="O57"/>
  <c r="M57"/>
  <c r="O56"/>
  <c r="M56"/>
  <c r="O55"/>
  <c r="M55"/>
  <c r="O54"/>
  <c r="M54"/>
  <c r="O53"/>
  <c r="M53"/>
  <c r="O52"/>
  <c r="M52"/>
  <c r="O51"/>
  <c r="M51"/>
  <c r="O50"/>
  <c r="M50"/>
  <c r="O49"/>
  <c r="M49"/>
  <c r="O48"/>
  <c r="M48"/>
  <c r="O47"/>
  <c r="M47"/>
  <c r="O46"/>
  <c r="M46"/>
  <c r="O44"/>
  <c r="M44"/>
  <c r="O43"/>
  <c r="O42"/>
  <c r="M42"/>
  <c r="O41"/>
  <c r="M41"/>
  <c r="O40"/>
  <c r="M40"/>
  <c r="O39"/>
  <c r="M39"/>
  <c r="O34"/>
  <c r="O33"/>
  <c r="M33"/>
  <c r="O32"/>
  <c r="P32" s="1"/>
  <c r="R32" s="1"/>
  <c r="M32"/>
  <c r="O31"/>
  <c r="M31"/>
  <c r="O29"/>
  <c r="M29"/>
  <c r="O26"/>
  <c r="M26"/>
  <c r="N19" s="1"/>
  <c r="O25"/>
  <c r="M25"/>
  <c r="O22"/>
  <c r="M22"/>
  <c r="O19"/>
  <c r="M19"/>
  <c r="J19"/>
  <c r="K19" s="1"/>
  <c r="F19"/>
  <c r="J18"/>
  <c r="I18"/>
  <c r="H18"/>
  <c r="G18"/>
  <c r="E18"/>
  <c r="D18"/>
  <c r="C18"/>
  <c r="O17"/>
  <c r="F17"/>
  <c r="O14"/>
  <c r="M14"/>
  <c r="O12"/>
  <c r="P12" s="1"/>
  <c r="M12"/>
  <c r="O11"/>
  <c r="O10"/>
  <c r="M10"/>
  <c r="O9"/>
  <c r="M9"/>
  <c r="P7"/>
  <c r="O7"/>
  <c r="Q7" s="1"/>
  <c r="M7"/>
  <c r="N7" s="1"/>
  <c r="J7"/>
  <c r="F7"/>
  <c r="Q82" l="1"/>
  <c r="K70"/>
  <c r="H70"/>
  <c r="J17"/>
  <c r="K17" s="1"/>
  <c r="F18"/>
  <c r="K131"/>
  <c r="G184"/>
  <c r="I181"/>
  <c r="I188" s="1"/>
  <c r="H181"/>
  <c r="E188"/>
  <c r="E184"/>
  <c r="R7"/>
  <c r="K18"/>
  <c r="Q121"/>
  <c r="D184"/>
  <c r="C184"/>
  <c r="K148"/>
  <c r="K180"/>
  <c r="K82"/>
  <c r="K97"/>
  <c r="Q123"/>
  <c r="Q144"/>
  <c r="K121"/>
  <c r="P137"/>
  <c r="P141"/>
  <c r="J147"/>
  <c r="K7"/>
  <c r="J126"/>
  <c r="F147"/>
  <c r="H184" l="1"/>
  <c r="H188"/>
  <c r="P17"/>
  <c r="F181"/>
  <c r="F188" s="1"/>
  <c r="I184"/>
  <c r="G188"/>
  <c r="K147"/>
  <c r="J120"/>
  <c r="K120" s="1"/>
  <c r="K126"/>
  <c r="Q126"/>
  <c r="F184" l="1"/>
  <c r="J181"/>
  <c r="K181" l="1"/>
  <c r="J184"/>
  <c r="D5" i="20" l="1"/>
  <c r="D7" s="1"/>
  <c r="A11" l="1"/>
  <c r="J143" i="14" l="1"/>
  <c r="I143"/>
  <c r="H143"/>
  <c r="G143"/>
  <c r="F143"/>
  <c r="E143"/>
  <c r="D143"/>
  <c r="C143"/>
  <c r="P140" l="1"/>
  <c r="J140"/>
  <c r="K140" s="1"/>
  <c r="F140"/>
  <c r="P139"/>
  <c r="J139"/>
  <c r="K139" s="1"/>
  <c r="F139"/>
  <c r="P138"/>
  <c r="J138"/>
  <c r="F138"/>
  <c r="P136" l="1"/>
  <c r="R134" l="1"/>
  <c r="Q134"/>
  <c r="P134"/>
  <c r="K134"/>
  <c r="J134"/>
  <c r="J133" s="1"/>
  <c r="K133" s="1"/>
  <c r="F134"/>
  <c r="F133" s="1"/>
  <c r="I133"/>
  <c r="H133"/>
  <c r="G133"/>
  <c r="E133"/>
  <c r="D133"/>
  <c r="C133"/>
  <c r="P131"/>
  <c r="G131"/>
  <c r="F131"/>
  <c r="P130"/>
  <c r="K130"/>
  <c r="J130"/>
  <c r="G130"/>
  <c r="F130" s="1"/>
  <c r="D130"/>
  <c r="P129"/>
  <c r="P126"/>
  <c r="P125"/>
  <c r="P124"/>
  <c r="P123"/>
  <c r="G123"/>
  <c r="F123"/>
  <c r="K122"/>
  <c r="J122"/>
  <c r="F122" s="1"/>
  <c r="C122"/>
  <c r="P119"/>
  <c r="P118"/>
  <c r="P117"/>
  <c r="P116"/>
  <c r="P111"/>
  <c r="G111"/>
  <c r="G110" s="1"/>
  <c r="F111"/>
  <c r="I110"/>
  <c r="H110"/>
  <c r="F110"/>
  <c r="E110"/>
  <c r="D110"/>
  <c r="C110"/>
  <c r="P109"/>
  <c r="P108"/>
  <c r="P107"/>
  <c r="K107"/>
  <c r="J107"/>
  <c r="F107"/>
  <c r="J106"/>
  <c r="F106"/>
  <c r="K106" s="1"/>
  <c r="P105"/>
  <c r="K105"/>
  <c r="J105"/>
  <c r="F105"/>
  <c r="P104"/>
  <c r="K104"/>
  <c r="J104"/>
  <c r="F104"/>
  <c r="P103"/>
  <c r="Q111" l="1"/>
  <c r="J103"/>
  <c r="K103" s="1"/>
  <c r="F103"/>
  <c r="I102"/>
  <c r="H102"/>
  <c r="G102"/>
  <c r="F102"/>
  <c r="E102"/>
  <c r="D102"/>
  <c r="C102"/>
  <c r="P101"/>
  <c r="K101"/>
  <c r="J101"/>
  <c r="F101"/>
  <c r="P100"/>
  <c r="R97" s="1"/>
  <c r="P97"/>
  <c r="G97"/>
  <c r="F97"/>
  <c r="P95"/>
  <c r="K95"/>
  <c r="J95"/>
  <c r="F95"/>
  <c r="P94"/>
  <c r="K94"/>
  <c r="J94"/>
  <c r="F94"/>
  <c r="P93"/>
  <c r="K93"/>
  <c r="J93"/>
  <c r="J92" s="1"/>
  <c r="F93"/>
  <c r="I92"/>
  <c r="K92" l="1"/>
  <c r="J102"/>
  <c r="K102" s="1"/>
  <c r="H92"/>
  <c r="G92"/>
  <c r="F92"/>
  <c r="E92"/>
  <c r="D92"/>
  <c r="C92"/>
  <c r="P91"/>
  <c r="P90"/>
  <c r="P89"/>
  <c r="P88"/>
  <c r="P87"/>
  <c r="P85"/>
  <c r="P84"/>
  <c r="P82"/>
  <c r="P81"/>
  <c r="K81"/>
  <c r="J81"/>
  <c r="F81"/>
  <c r="P78"/>
  <c r="K77"/>
  <c r="J77"/>
  <c r="F77"/>
  <c r="Q76"/>
  <c r="P76"/>
  <c r="K76" l="1"/>
  <c r="J76"/>
  <c r="F76"/>
  <c r="P75"/>
  <c r="P74"/>
  <c r="P73"/>
  <c r="P72"/>
  <c r="K72"/>
  <c r="J72"/>
  <c r="F72"/>
  <c r="P61"/>
  <c r="P59"/>
  <c r="Q58" l="1"/>
  <c r="K58" l="1"/>
  <c r="J58"/>
  <c r="F58"/>
  <c r="F48" s="1"/>
  <c r="P54"/>
  <c r="P53"/>
  <c r="Q50"/>
  <c r="P49"/>
  <c r="K49"/>
  <c r="J49"/>
  <c r="F49"/>
  <c r="I48"/>
  <c r="H48"/>
  <c r="G48"/>
  <c r="E48"/>
  <c r="D48"/>
  <c r="C48"/>
  <c r="K47"/>
  <c r="J47"/>
  <c r="F47"/>
  <c r="P44"/>
  <c r="J44"/>
  <c r="K44" s="1"/>
  <c r="F44"/>
  <c r="P42"/>
  <c r="P41"/>
  <c r="R39"/>
  <c r="Q39"/>
  <c r="P39"/>
  <c r="K39"/>
  <c r="J39"/>
  <c r="F39"/>
  <c r="Q38"/>
  <c r="P38"/>
  <c r="Q37"/>
  <c r="P37"/>
  <c r="Q36"/>
  <c r="P36"/>
  <c r="J48" l="1"/>
  <c r="K48" s="1"/>
  <c r="P35"/>
  <c r="P34"/>
  <c r="P33"/>
  <c r="P32"/>
  <c r="P30"/>
  <c r="P29"/>
  <c r="P28"/>
  <c r="P27" l="1"/>
  <c r="BQ26"/>
  <c r="BP26"/>
  <c r="BO26"/>
  <c r="BL26"/>
  <c r="BK26"/>
  <c r="BF26"/>
  <c r="BC26"/>
  <c r="BA26"/>
  <c r="AZ26"/>
  <c r="AY26"/>
  <c r="AX26"/>
  <c r="AV26"/>
  <c r="AU26"/>
  <c r="AT26"/>
  <c r="AS26"/>
  <c r="AP26"/>
  <c r="AO26"/>
  <c r="AN26"/>
  <c r="AK26"/>
  <c r="AJ26"/>
  <c r="AI26"/>
  <c r="AH26"/>
  <c r="AF26"/>
  <c r="AE26"/>
  <c r="AD26"/>
  <c r="AC26"/>
  <c r="AA26"/>
  <c r="Z26"/>
  <c r="Y26"/>
  <c r="V26"/>
  <c r="U26"/>
  <c r="T26"/>
  <c r="S26"/>
  <c r="P26"/>
  <c r="BR26" s="1"/>
  <c r="Q27" s="1"/>
  <c r="P24"/>
  <c r="P22"/>
  <c r="P19"/>
  <c r="P18"/>
  <c r="P15"/>
  <c r="P14" l="1"/>
  <c r="P12"/>
  <c r="K12"/>
  <c r="J12"/>
  <c r="J11" s="1"/>
  <c r="H12"/>
  <c r="H11" s="1"/>
  <c r="H141" s="1"/>
  <c r="H144" s="1"/>
  <c r="G12"/>
  <c r="G11" s="1"/>
  <c r="G141" s="1"/>
  <c r="G144" s="1"/>
  <c r="F12"/>
  <c r="I11"/>
  <c r="I141" s="1"/>
  <c r="I144" s="1"/>
  <c r="E11"/>
  <c r="E141" s="1"/>
  <c r="K11" l="1"/>
  <c r="D141"/>
  <c r="D144" s="1"/>
  <c r="F11"/>
  <c r="D11"/>
  <c r="C11"/>
  <c r="K10"/>
  <c r="J10"/>
  <c r="F10"/>
  <c r="P9"/>
  <c r="P8"/>
  <c r="Q7" s="1"/>
  <c r="P7"/>
  <c r="J7"/>
  <c r="F7" s="1"/>
  <c r="C7"/>
  <c r="F141" l="1"/>
  <c r="F144" s="1"/>
  <c r="E144" s="1"/>
  <c r="C141"/>
  <c r="C144" s="1"/>
  <c r="K7"/>
  <c r="J97"/>
  <c r="K97"/>
  <c r="J111"/>
  <c r="K111"/>
  <c r="J110"/>
  <c r="J131"/>
  <c r="K131"/>
  <c r="J123"/>
  <c r="K123"/>
  <c r="J141"/>
  <c r="J144"/>
  <c r="K141"/>
  <c r="K110"/>
</calcChain>
</file>

<file path=xl/sharedStrings.xml><?xml version="1.0" encoding="utf-8"?>
<sst xmlns="http://schemas.openxmlformats.org/spreadsheetml/2006/main" count="658" uniqueCount="456">
  <si>
    <t>Кассовые расходы с начала года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</si>
  <si>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</si>
  <si>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«Наследие Усть-Абаканского района»</t>
  </si>
  <si>
    <t>Подпрограмма «Развитие культурного потенциала Усть-Абаканского района»</t>
  </si>
  <si>
    <t>Подпрограмма «Искусство Усть-Абаканского района»</t>
  </si>
  <si>
    <t>Подпрограмма «Обеспечение реализации муниципальной программы»</t>
  </si>
  <si>
    <t>Подпрограмма «Молодежь Усть-Абаканского района»</t>
  </si>
  <si>
    <t>Подпрограмма «Социальная поддержка детей-сирот и детей, оставшихся без попечения родителей»</t>
  </si>
  <si>
    <t>Подпрограмма «Организация отдыха и оздоровления детей в Усть-Абаканском районе»</t>
  </si>
  <si>
    <t>Подпрограмма «Профилактика правонарушений, обеспечение безопасности и общественного порядка»</t>
  </si>
  <si>
    <t>Подпрограмма «Профилактика безнадзорности и правонарушений несовершеннолетних»</t>
  </si>
  <si>
    <t>Подпрограмма «Профилактика террористической и экстремистской деятельности»</t>
  </si>
  <si>
    <t xml:space="preserve">Подпрограмма «Дорожное хозяйство» </t>
  </si>
  <si>
    <t>Подпрограмма «Транспортное обслуживание населения»</t>
  </si>
  <si>
    <t>Подпрограмма «Модернизация объектов коммунальной инфраструктуры»</t>
  </si>
  <si>
    <t>Подпрограмма «Чистая вода»</t>
  </si>
  <si>
    <t>тыс.руб.</t>
  </si>
  <si>
    <t>№ п/п</t>
  </si>
  <si>
    <t>Муниципальная программа</t>
  </si>
  <si>
    <t xml:space="preserve">План на год </t>
  </si>
  <si>
    <t>Информация о выполненных мероприятиях</t>
  </si>
  <si>
    <t>МБ</t>
  </si>
  <si>
    <t>РХ</t>
  </si>
  <si>
    <t>РФ</t>
  </si>
  <si>
    <t>Всего</t>
  </si>
  <si>
    <t>1.</t>
  </si>
  <si>
    <t>2.</t>
  </si>
  <si>
    <t>3.</t>
  </si>
  <si>
    <t>4.</t>
  </si>
  <si>
    <t>5.</t>
  </si>
  <si>
    <t>Муниципальная программа «Повышение эффективности и управления муниципальными финансами Усть-Абаканского района»</t>
  </si>
  <si>
    <t>6.</t>
  </si>
  <si>
    <t>7.1.</t>
  </si>
  <si>
    <t>Подпрограмма «Развитие дошкольного, начального, общего, основного общего, среднего образования»</t>
  </si>
  <si>
    <t>7.2.</t>
  </si>
  <si>
    <t>7.3.</t>
  </si>
  <si>
    <t>Подпрограмма «Патриотическое воспитание»</t>
  </si>
  <si>
    <t>8.</t>
  </si>
  <si>
    <t>Подпрограмма «Обеспечение реализации муниципальной  программы»</t>
  </si>
  <si>
    <t>9.</t>
  </si>
  <si>
    <t>10.</t>
  </si>
  <si>
    <t>11.</t>
  </si>
  <si>
    <t>12.</t>
  </si>
  <si>
    <t>12.1.</t>
  </si>
  <si>
    <t>12.2.</t>
  </si>
  <si>
    <t>Подпрограмма «Развитие мер социальной поддержки отдельных категорий граждан в Усть-Абаканском районе»</t>
  </si>
  <si>
    <t>13.</t>
  </si>
  <si>
    <t>14.</t>
  </si>
  <si>
    <t>Подпрограмма  «Повышение безопасности дорожного движения»</t>
  </si>
  <si>
    <t>15.</t>
  </si>
  <si>
    <t>16.</t>
  </si>
  <si>
    <t>16.1.</t>
  </si>
  <si>
    <t>16.2.</t>
  </si>
  <si>
    <t>17.</t>
  </si>
  <si>
    <t>ВСЕГО по муниципальным программам:</t>
  </si>
  <si>
    <t>Усть-Абаканского района по финансам и экономике</t>
  </si>
  <si>
    <t>Н.А. Потылицына</t>
  </si>
  <si>
    <t>Исполнитель</t>
  </si>
  <si>
    <t>3.1.</t>
  </si>
  <si>
    <t>3.2.</t>
  </si>
  <si>
    <t>3.3.</t>
  </si>
  <si>
    <t>5.1.</t>
  </si>
  <si>
    <t>5.2.</t>
  </si>
  <si>
    <t>5.3.</t>
  </si>
  <si>
    <t>5.4.</t>
  </si>
  <si>
    <t>5.5.</t>
  </si>
  <si>
    <t>10.1.</t>
  </si>
  <si>
    <t>10.2.</t>
  </si>
  <si>
    <t>10.3.</t>
  </si>
  <si>
    <t>10.4.</t>
  </si>
  <si>
    <t>Главный специалист экономического отдела</t>
  </si>
  <si>
    <t>Управления финансов и экономики администрации Усть-Абаканского района</t>
  </si>
  <si>
    <t>Муниципальная программа «Развитие физической культуры и спорта в Усть-Абаканском районе»</t>
  </si>
  <si>
    <t>Муниципальная программа «Социальная поддержка граждан»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</si>
  <si>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районе»</t>
  </si>
  <si>
    <t xml:space="preserve">Муниципальная программа «Обеспечение общественного порядка и противодействие преступности в Усть-Абаканском районе» </t>
  </si>
  <si>
    <t>Муниципальная программа «Развитие туризма в Усть-Абаканском районе»</t>
  </si>
  <si>
    <t>Муниципальная программа «Развитие транспортной системы Усть-Абаканского района»</t>
  </si>
  <si>
    <t xml:space="preserve">Муниципальная программа «Жилище» 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</si>
  <si>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районе» </t>
  </si>
  <si>
    <t>Муниципальная программа «Развитие торговли в Усть-Абаканском районе»</t>
  </si>
  <si>
    <t>Муниципальная программа «Развитие муниципального имущества в Усть-Абаканском районе»</t>
  </si>
  <si>
    <t>Муниципальная программа «Культура Усть-Абаканского района»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</si>
  <si>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объектах»</t>
  </si>
  <si>
    <t>Муниципальная программа «Развитие  образования  в  Усть-Абаканском районе»</t>
  </si>
  <si>
    <t>Муниципальная программа «Развитие субъектов малого и среднего предпринимательства в Усть-Абаканском районе»</t>
  </si>
  <si>
    <r>
      <t xml:space="preserve">Выполнено с начала года % </t>
    </r>
    <r>
      <rPr>
        <b/>
        <sz val="10"/>
        <color theme="1"/>
        <rFont val="Times New Roman"/>
        <family val="1"/>
        <charset val="204"/>
      </rPr>
      <t>(гр.10/гр.6х100)</t>
    </r>
  </si>
  <si>
    <t>Муниципальная программа «Улучшение условий и охраны труда в Усть-Абаканском районе»</t>
  </si>
  <si>
    <t xml:space="preserve"> </t>
  </si>
  <si>
    <r>
      <rPr>
        <b/>
        <sz val="14"/>
        <rFont val="Times New Roman"/>
        <family val="1"/>
        <charset val="204"/>
      </rPr>
      <t xml:space="preserve">4.Капитальный ремонт в муниципальных учреждениях, в том числе проектно-сметная документация -  </t>
    </r>
    <r>
      <rPr>
        <sz val="14"/>
        <rFont val="Times New Roman"/>
        <family val="1"/>
        <charset val="204"/>
      </rPr>
      <t xml:space="preserve">Капитальный ремонт системы водоснабжения (ДШИ)       </t>
    </r>
  </si>
  <si>
    <t xml:space="preserve">Муниципальная программа «Комплексное развитие сельских территорий Усть-Абаканского района» </t>
  </si>
  <si>
    <r>
      <t xml:space="preserve">4. Государственная поддержка отрасли культуры за счет средств резервного фонда Правительства Российской Федерации (в том числе софинансирование с республиканским бюджетом) </t>
    </r>
    <r>
      <rPr>
        <sz val="14"/>
        <rFont val="Times New Roman"/>
        <family val="1"/>
        <charset val="204"/>
      </rPr>
      <t>- 188,0, из них:</t>
    </r>
    <r>
      <rPr>
        <b/>
        <sz val="14"/>
        <rFont val="Times New Roman"/>
        <family val="1"/>
        <charset val="204"/>
      </rPr>
      <t xml:space="preserve"> 3,8 (МБ), 18,4 (РХ), 165,8 (РФ) </t>
    </r>
    <r>
      <rPr>
        <sz val="14"/>
        <rFont val="Times New Roman"/>
        <family val="1"/>
        <charset val="204"/>
      </rPr>
      <t>Комплектование книжных фондов</t>
    </r>
  </si>
  <si>
    <t>ОТЧЕТ</t>
  </si>
  <si>
    <t xml:space="preserve">2.Строительство, реконструкция объектов муниципальной собственности, в том числе разработка проектно-сметной документации </t>
  </si>
  <si>
    <t xml:space="preserve">   </t>
  </si>
  <si>
    <r>
      <rPr>
        <b/>
        <sz val="14"/>
        <rFont val="Times New Roman"/>
        <family val="1"/>
        <charset val="204"/>
      </rPr>
      <t xml:space="preserve">3. Выполнение инженерно-геодезических изысканий </t>
    </r>
    <r>
      <rPr>
        <sz val="14"/>
        <rFont val="Times New Roman"/>
        <family val="1"/>
        <charset val="204"/>
      </rPr>
      <t xml:space="preserve">в целях подготовки проектной документации для ремонта автомобильной дороги с. Солнечное-д. Курганная Усть-Абаканского района Республики  Хакасия </t>
    </r>
    <r>
      <rPr>
        <b/>
        <sz val="14"/>
        <rFont val="Times New Roman"/>
        <family val="1"/>
        <charset val="204"/>
      </rPr>
      <t>- 600,0</t>
    </r>
    <r>
      <rPr>
        <sz val="14"/>
        <rFont val="Times New Roman"/>
        <family val="1"/>
        <charset val="204"/>
      </rPr>
      <t>.</t>
    </r>
  </si>
  <si>
    <r>
      <t xml:space="preserve">2. Капитальный ремонт в муниципальных учреждениях, в том числе проектно-сметная документация - 2036,7 </t>
    </r>
    <r>
      <rPr>
        <sz val="14"/>
        <rFont val="Times New Roman"/>
        <family val="1"/>
        <charset val="204"/>
      </rPr>
      <t>Капитальный ремонт системы отопления спортзала МБУДО «Усть-Абаканская СШ».</t>
    </r>
  </si>
  <si>
    <r>
      <t>5. Оказание адресной финансовой поддержки спортивным организациям, осуществляющим подготовку спортивного резерва -</t>
    </r>
    <r>
      <rPr>
        <sz val="14"/>
        <rFont val="Times New Roman"/>
        <family val="1"/>
        <charset val="204"/>
      </rPr>
      <t xml:space="preserve"> 306,1, из них:</t>
    </r>
    <r>
      <rPr>
        <b/>
        <sz val="14"/>
        <rFont val="Times New Roman"/>
        <family val="1"/>
        <charset val="204"/>
      </rPr>
      <t xml:space="preserve"> 6,1 (МБ), 300,0 (РХ),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1. Приобретение спортивного инвентаря - 259,5(РХ), 6,1(МБ);                                                                                                                                      2. Приобретение спортивной экипировки - 40,5.</t>
    </r>
  </si>
  <si>
    <t>^Осуществление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- 15,0 (РХ)</t>
  </si>
  <si>
    <r>
      <rPr>
        <b/>
        <sz val="14"/>
        <rFont val="Times New Roman"/>
        <family val="1"/>
        <charset val="204"/>
      </rPr>
      <t xml:space="preserve">Мероприятия по профилактике терроризма и экстремизма - 3,0 </t>
    </r>
    <r>
      <rPr>
        <sz val="14"/>
        <rFont val="Times New Roman"/>
        <family val="1"/>
        <charset val="204"/>
      </rPr>
      <t>Изготовление  памяток с тематикой  по профилактике террористической и экстремистской деятельности</t>
    </r>
  </si>
  <si>
    <r>
      <t xml:space="preserve">2. Реализация инфраструктурных проектов Республики Хакасия:                                                                                           2.1. Строительство и реконструкция объектов муниципальной собственности, в том числе разработка проектно-сметной документации: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Строительство ЦТП 3 Гкал/час, тепловых сетей 1,4 км в п.Расцвет, строительство ЦТП 0,6 Гкал/час , тепловой сети 1,65 км в п. Тепличный, строительство элеваторных узлов 30 шт и тепловой сети 1,65 км с.Зеленое (Выполнение работ планируется после окончания отопительного периода).                                                         </t>
    </r>
  </si>
  <si>
    <r>
      <t>4.Иные межбюджетные трансферты на содержание, ремонт, капитальный ремонт и строительство автомобильных дорог общего пользования местного значения, в том числе разработка  проектно-сметной документации - 1347,9</t>
    </r>
    <r>
      <rPr>
        <sz val="14"/>
        <rFont val="Times New Roman"/>
        <family val="1"/>
        <charset val="204"/>
      </rPr>
      <t>, из них: Калининский сельсовет: Устройство парковки и тротуара ул. Советская в д. Чапаево (возле школы)</t>
    </r>
  </si>
  <si>
    <r>
      <rPr>
        <b/>
        <sz val="14"/>
        <color theme="1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color theme="1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</si>
  <si>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r>
      <t xml:space="preserve">5.Модернизация региональных систем дошкольного образования </t>
    </r>
    <r>
      <rPr>
        <sz val="14"/>
        <rFont val="Times New Roman"/>
        <family val="1"/>
        <charset val="204"/>
      </rPr>
      <t>- 2040,8, из них</t>
    </r>
    <r>
      <rPr>
        <b/>
        <sz val="14"/>
        <rFont val="Times New Roman"/>
        <family val="1"/>
        <charset val="204"/>
      </rPr>
      <t>: 2000,0 (РХ), 40,8 (МБ): ^</t>
    </r>
    <r>
      <rPr>
        <sz val="14"/>
        <rFont val="Times New Roman"/>
        <family val="1"/>
        <charset val="204"/>
      </rPr>
      <t xml:space="preserve">Замена окон: д/с Рябинушка-1020,4, д/с Ласточка-1020,4. </t>
    </r>
  </si>
  <si>
    <r>
      <rPr>
        <b/>
        <sz val="14"/>
        <color theme="1"/>
        <rFont val="Times New Roman"/>
        <family val="1"/>
        <charset val="204"/>
      </rPr>
      <t>10. Частичное погашение кредиторской задолженности -</t>
    </r>
    <r>
      <rPr>
        <sz val="14"/>
        <color theme="1"/>
        <rFont val="Times New Roman"/>
        <family val="1"/>
        <charset val="204"/>
      </rPr>
      <t>122,4, в том числе:</t>
    </r>
    <r>
      <rPr>
        <b/>
        <sz val="14"/>
        <color theme="1"/>
        <rFont val="Times New Roman"/>
        <family val="1"/>
        <charset val="204"/>
      </rPr>
      <t xml:space="preserve"> 120,0 (РХ), 2,4 (МБ)</t>
    </r>
    <r>
      <rPr>
        <sz val="14"/>
        <color theme="1"/>
        <rFont val="Times New Roman"/>
        <family val="1"/>
        <charset val="204"/>
      </rPr>
      <t xml:space="preserve"> (пени за несвоевременную оплату страховых взносов).</t>
    </r>
  </si>
  <si>
    <r>
      <rPr>
        <b/>
        <sz val="14"/>
        <rFont val="Times New Roman"/>
        <family val="1"/>
        <charset val="204"/>
      </rPr>
      <t>2.Капитальный ремонт в муниципальных учреждениях, в том числе проектно-сметная документация - 3736,1,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д/с Ромашка - 36,8;                                                                                                      ^ПСД на капитальный ремонт кровли д/с Аленушка - 178,6;                                                                                                                    ^Капитальный ремонт эвакуационных выходов д/с Ромашка - 206,1;                                                                                                       ^Капитальный ремонт помещений д/с Ромашка - 509,5;                                                                                                                                                                      ^Капитальный ремонт кровли д/с Аленушка - 2805,1.</t>
    </r>
  </si>
  <si>
    <t xml:space="preserve"> о реализации муниципальных программ, действующих на территории Усть-Абаканского района Республики Хакасия за 2022 год.</t>
  </si>
  <si>
    <r>
      <rPr>
        <b/>
        <sz val="14"/>
        <color theme="1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- 379,4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участков.    </t>
    </r>
  </si>
  <si>
    <r>
      <rPr>
        <b/>
        <sz val="14"/>
        <rFont val="Times New Roman"/>
        <family val="1"/>
        <charset val="204"/>
      </rPr>
      <t>1.Обеспечение деятельности УИО - 17609,1</t>
    </r>
    <r>
      <rPr>
        <sz val="14"/>
        <rFont val="Times New Roman"/>
        <family val="1"/>
        <charset val="204"/>
      </rPr>
      <t xml:space="preserve">, в том числе: заработная плата - 10831,1; начисления на выплаты по оплате труда - 3130,8; командировочные расходы - 294,2; услуги связи -297,1; транспортные услуги - 14,2; работы, услуги по содержанию имущества - 1136,5; прочие работы, услуги - 609,0; приобретение основных средств - 663,6; приобретение ГСМ - 346,4; приобретение материальных запасов - 282,6; транспортный налог - 3,6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</si>
  <si>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Содействие в обеспеченности жилыми помещениями молодых семей - </t>
    </r>
    <r>
      <rPr>
        <sz val="14"/>
        <color theme="1"/>
        <rFont val="Times New Roman"/>
        <family val="1"/>
        <charset val="204"/>
      </rPr>
      <t>1002,4</t>
    </r>
    <r>
      <rPr>
        <b/>
        <sz val="14"/>
        <color theme="1"/>
        <rFont val="Times New Roman"/>
        <family val="1"/>
        <charset val="204"/>
      </rPr>
      <t>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^Предоставлена социальная выплата 1 молодой семье - </t>
    </r>
    <r>
      <rPr>
        <b/>
        <sz val="14"/>
        <color theme="1"/>
        <rFont val="Times New Roman"/>
        <family val="1"/>
        <charset val="204"/>
      </rPr>
      <t>296,1 (МБ), 146,3 (РХ), 560,0 (РФ).</t>
    </r>
    <r>
      <rPr>
        <sz val="14"/>
        <color theme="1"/>
        <rFont val="Times New Roman"/>
        <family val="1"/>
        <charset val="204"/>
      </rPr>
      <t xml:space="preserve"> Согласно приложению № 2 к соглашению № 95630000-1-2022-006 от 24.01.2022 г. плановое значение результатов использования субсидии на 2022 год составляет одна молодая семья. В 2022 году выдано и реализовано 1 Свидетельство о праве на получение социальной выплаты на приобретение (строительство) жилого помещения.</t>
    </r>
  </si>
  <si>
    <t>Демина Е.А. 2-18-52</t>
  </si>
  <si>
    <r>
      <rPr>
        <b/>
        <sz val="14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- 17805,9,</t>
    </r>
    <r>
      <rPr>
        <sz val="14"/>
        <color theme="1"/>
        <rFont val="Times New Roman"/>
        <family val="1"/>
        <charset val="204"/>
      </rPr>
      <t xml:space="preserve"> в том числе: заработная плата - 9625,6; социальные пособия и компенсации персоналу - 60,9; страховые взносы - 2870,8; услуги связи - 102,5; коммунальные услуги - 192,9; работы, услуги по содержанию имущества - 1898,6; прочие работы, услуги - 391,3; страхование -15,9; увеличение стоимости основных средств - 2255,11;увеличение стоимости ГСМ - 182,99; увеличение стоимости мат.запасов - 185,7;увеличение стоимости мягкого инвентаря - 19,1; прочие налоги и сборы - 4,5.</t>
    </r>
  </si>
  <si>
    <r>
      <rPr>
        <b/>
        <sz val="14"/>
        <rFont val="Times New Roman"/>
        <family val="1"/>
        <charset val="204"/>
      </rPr>
      <t xml:space="preserve">Мероприятия в сфере поддержки малого и среднего предпринимательства - 18,3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районного конкурса «Предприниматель 2021 года».                                                              </t>
    </r>
  </si>
  <si>
    <t xml:space="preserve">2. Экспертиза сметной стоимости - 432,0          </t>
  </si>
  <si>
    <t xml:space="preserve">4. Установка дорожных знаков - 497,1; </t>
  </si>
  <si>
    <t>5. Дорожная разметка - 718,7.</t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</si>
  <si>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21431,8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Содержание автомобильных дорог - 575,3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- 33,5;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аал Чарков - аал Ах-Хол-аал Майский - 31,4;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- 78,8;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- 224,8;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14 км ( Подъезд к п. Ильича - 9,2 км, аал Доможаков - аал Трояков - 2,3 км, аал Райков - аал Баинов - 2,5 км ) - 50,3;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- 156,5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</si>
  <si>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4.Обеспечение государственных гарантий реализации прав на получение общедоступного и бесплатного дошкольного образования - 130466,4 (РХ):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труда-127121,7, услуги связи-43,6, прочие услуги- 1707,9, приобретение мат.запасов-882,6,приобретение осн.средств-710,6.                                                                            </t>
    </r>
  </si>
  <si>
    <r>
      <t>2.Строительство, реконструкция объектов муниципальной собственности, в том числе разработка проектно-сметной документации -17,0</t>
    </r>
    <r>
      <rPr>
        <sz val="14"/>
        <rFont val="Times New Roman"/>
        <family val="1"/>
        <charset val="204"/>
      </rPr>
      <t>:                                                                                                                                                                                                                                               ^Земельный налог на участок д.Чапаево.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</si>
  <si>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- 151830,2: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труда-52296,6, услуги связи-223,6, транспортные услуги-2779,8, коммунальные услуги-39280,9, аренда-97,9, услуги по сод.имущества-11253,8, прочие услуги-4551,8, прочие расходы-26817,7, приобретение основных средств-1046,2, приобретение мат.запасов-13481,9.</t>
    </r>
  </si>
  <si>
    <r>
      <rPr>
        <b/>
        <sz val="14"/>
        <color theme="1"/>
        <rFont val="Times New Roman"/>
        <family val="1"/>
        <charset val="204"/>
      </rPr>
      <t>5.Ежемесячное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- 34871,0 (ФБ) ^</t>
    </r>
    <r>
      <rPr>
        <sz val="14"/>
        <color theme="1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Times New Roman"/>
        <family val="1"/>
        <charset val="204"/>
      </rPr>
      <t xml:space="preserve">  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</si>
  <si>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6.Обеспечение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- 537902,4(РХ)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труда-523998,5, услуги связи-123,7, прочие услуги-3261,3, приобретение основных средств-6185,6, приобретение мат.запасов - 4333,3.   </t>
    </r>
  </si>
  <si>
    <r>
      <rPr>
        <b/>
        <sz val="14"/>
        <color theme="1"/>
        <rFont val="Times New Roman"/>
        <family val="1"/>
        <charset val="204"/>
      </rPr>
      <t>8.Организация школьного питания</t>
    </r>
    <r>
      <rPr>
        <sz val="14"/>
        <color theme="1"/>
        <rFont val="Times New Roman"/>
        <family val="1"/>
        <charset val="204"/>
      </rPr>
      <t xml:space="preserve"> - 1865,5, из них:</t>
    </r>
    <r>
      <rPr>
        <b/>
        <sz val="14"/>
        <color theme="1"/>
        <rFont val="Times New Roman"/>
        <family val="1"/>
        <charset val="204"/>
      </rPr>
      <t xml:space="preserve"> 2107,8 (МБ), 3232,6 (РХ) </t>
    </r>
    <r>
      <rPr>
        <sz val="14"/>
        <color theme="1"/>
        <rFont val="Times New Roman"/>
        <family val="1"/>
        <charset val="204"/>
      </rPr>
      <t xml:space="preserve"> (880 чел.)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9.Организация бесплатного горячего питания обучающихся, получающих начальное общее образование в  муниципальных образовательных организациях - </t>
    </r>
    <r>
      <rPr>
        <sz val="14"/>
        <color theme="1"/>
        <rFont val="Times New Roman"/>
        <family val="1"/>
        <charset val="204"/>
      </rPr>
      <t xml:space="preserve">31358,4, из них: </t>
    </r>
    <r>
      <rPr>
        <b/>
        <sz val="14"/>
        <color theme="1"/>
        <rFont val="Times New Roman"/>
        <family val="1"/>
        <charset val="204"/>
      </rPr>
      <t xml:space="preserve">313,6(МБ), 3104,5(РХ),27940,3(ФБ).                                                                   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</si>
  <si>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Обеспечение условий развития сферы образования: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1.Органы местного самоуправления - 11771,3</t>
    </r>
    <r>
      <rPr>
        <sz val="14"/>
        <color theme="1"/>
        <rFont val="Times New Roman"/>
        <family val="1"/>
        <charset val="204"/>
      </rPr>
      <t xml:space="preserve">, из них: оплата труда-10357,1, услуги связи-61,6, услуги по сод.имущества-534,6, прочие услуги- 280,5, прочие расходы-25,8, приобретение основных средств-414,7, приобретение мат.запасов-97.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- 30345,9,</t>
    </r>
    <r>
      <rPr>
        <sz val="14"/>
        <color theme="1"/>
        <rFont val="Times New Roman"/>
        <family val="1"/>
        <charset val="204"/>
      </rPr>
      <t xml:space="preserve"> из них: оплата труда-26331,2, услуги связи-111,9, транспортные услуги-5,3, коммунальные услуги-440,8, аренда-35,0, услуги по сод.имущества- 690,2, прочие услуги-1026,6, прочие расходы-43,4, приобретение основных средств-1065,1, приобретение мат.запасов-596,4. </t>
    </r>
  </si>
  <si>
    <r>
      <t xml:space="preserve">Региональный проект Республики Хакасия «Успех каждого ребенка»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</t>
    </r>
    <r>
      <rPr>
        <sz val="14"/>
        <color theme="1"/>
        <rFont val="Times New Roman"/>
        <family val="1"/>
        <charset val="204"/>
      </rPr>
      <t>- 3406,6, из них:</t>
    </r>
    <r>
      <rPr>
        <b/>
        <sz val="14"/>
        <color theme="1"/>
        <rFont val="Times New Roman"/>
        <family val="1"/>
        <charset val="204"/>
      </rPr>
      <t xml:space="preserve"> 3338,8(РФ), 33,7(РХ), 34,1(МБ) </t>
    </r>
    <r>
      <rPr>
        <sz val="14"/>
        <color theme="1"/>
        <rFont val="Times New Roman"/>
        <family val="1"/>
        <charset val="204"/>
      </rPr>
      <t xml:space="preserve">Капитальный ремонт спорт.зала и приобретение спорт.инвентаря Райковская СОШ-1703,3, В-Биджинская СОШ-1703,3.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(спорт.зал</t>
    </r>
    <r>
      <rPr>
        <sz val="14"/>
        <color theme="1"/>
        <rFont val="Times New Roman"/>
        <family val="1"/>
        <charset val="204"/>
      </rPr>
      <t xml:space="preserve">) - </t>
    </r>
    <r>
      <rPr>
        <b/>
        <sz val="14"/>
        <color theme="1"/>
        <rFont val="Times New Roman"/>
        <family val="1"/>
        <charset val="204"/>
      </rPr>
      <t>4081,6</t>
    </r>
    <r>
      <rPr>
        <sz val="14"/>
        <color theme="1"/>
        <rFont val="Times New Roman"/>
        <family val="1"/>
        <charset val="204"/>
      </rPr>
      <t xml:space="preserve">, из них: </t>
    </r>
    <r>
      <rPr>
        <b/>
        <sz val="14"/>
        <color theme="1"/>
        <rFont val="Times New Roman"/>
        <family val="1"/>
        <charset val="204"/>
      </rPr>
      <t>4000 (РХ), 81,6 (МБ)</t>
    </r>
    <r>
      <rPr>
        <sz val="14"/>
        <color theme="1"/>
        <rFont val="Times New Roman"/>
        <family val="1"/>
        <charset val="204"/>
      </rPr>
      <t xml:space="preserve"> Капитальный ремонт спорт.зала и приобретение спорт.инвентаря: В-Биджинская СОШ-1797,1, Райковская СОШ-1261,9</t>
    </r>
  </si>
  <si>
    <r>
      <rPr>
        <b/>
        <sz val="14"/>
        <rFont val="Times New Roman"/>
        <family val="1"/>
        <charset val="204"/>
      </rPr>
      <t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1.Обеспечение функционирования модели персонифицированного финансирования (МБУДО «Усть-Абаканский ЦДО» - 5488,</t>
    </r>
    <r>
      <rPr>
        <sz val="14"/>
        <rFont val="Times New Roman"/>
        <family val="1"/>
        <charset val="204"/>
      </rPr>
      <t xml:space="preserve"> из них: Субсидии на выполнения муниципального задания (из средств МБ) - оплата труда</t>
    </r>
  </si>
  <si>
    <t>Осуществление органами местного самоуправления государственных полномочий в области охраны труда - 611,6 (РХ).</t>
  </si>
  <si>
    <r>
      <t>4.Проведение ремонта загородных детских лагерей, оздоровительных лагерей - 3300,0 (РХ) ^</t>
    </r>
    <r>
      <rPr>
        <sz val="14"/>
        <rFont val="Times New Roman"/>
        <family val="1"/>
        <charset val="204"/>
      </rPr>
      <t xml:space="preserve">Отремонтирована кровля мед.пункта, 2 крыльца клуба, крыльцо столовой, душевые помещения, полы в 6 уличных туалетах, произведен капитальный ремонт летнего водопровода, канализации.
Сделаны бетонные дорожки на территории лагеря, оплата пройдет в 4 квартале.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5.Ремонт загородных детских лагерей, оздоровительных лагерей - 67,3,</t>
    </r>
    <r>
      <rPr>
        <sz val="14"/>
        <rFont val="Times New Roman"/>
        <family val="1"/>
        <charset val="204"/>
      </rPr>
      <t xml:space="preserve"> Софинансирование к республиканскому бюджету на оплату ремонтных работ в лагере "Дружба".</t>
    </r>
  </si>
  <si>
    <r>
      <rPr>
        <b/>
        <sz val="14"/>
        <rFont val="Times New Roman"/>
        <family val="1"/>
        <charset val="204"/>
      </rPr>
      <t>Развитие рынка труда (кадровый потенциал) на сельских территориях - 569,2</t>
    </r>
    <r>
      <rPr>
        <sz val="14"/>
        <rFont val="Times New Roman"/>
        <family val="1"/>
        <charset val="204"/>
      </rPr>
      <t>, из них:                                                                                                                              ^Приобретение торговых прилавков для ярмарки - 415,2;                                                                                                                                                        ^Формирование призового фонда республиканских конно-спортивных соревнований в г.Абакан - 30,0.                                ^Призы в денежной форме победителям труд.соревнований - 120,0;                                                                                                ^Покупка грамот и рамок- 4,0.</t>
    </r>
  </si>
  <si>
    <r>
      <rPr>
        <b/>
        <sz val="14"/>
        <rFont val="Times New Roman"/>
        <family val="1"/>
        <charset val="204"/>
      </rPr>
      <t>Укрепление безопасности и общественного порядка в Усть-Абаканском районе - 16,9,из них:                             ^</t>
    </r>
    <r>
      <rPr>
        <sz val="14"/>
        <rFont val="Times New Roman"/>
        <family val="1"/>
        <charset val="204"/>
      </rPr>
      <t xml:space="preserve">Поощрение членов общественных организаций правоохранительной направленности-9,9;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Канцелярия, наградной материал-7,0.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</si>
  <si>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5.Обеспечение обслуживания, содержания и распоряжения муниципальной собственность - 7057,8</t>
    </r>
    <r>
      <rPr>
        <sz val="14"/>
        <color theme="1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- 147,0;                                                                                                               ^Работы для муниципальных нужд по разбору аварийного здания, расположенного по адресу: рп Усть-Абакан, ул. 30 лет Победы, 1, уборка территории и вывоз мусора - 450,0;                                                                                                                                                  ^Вырубка, кронирование деревьев и кустарников на рп Усть-Абакан ул. 30 лет Победы 1 - 38,0;                                                                                                  ^Опашка з/у (противопожарные мероприятия) - 139,3;                                                                                                                                      ^Поставка автомобиля ГАЗ-С41R13 двусекционная пищевая цистерна объем 4,2 куб.м 2022 года выпуска-5350,0;                                                                                                                                                                                                                                 ^Ремонт муниципального имущества - 297,1;                                                                                                                                                      ^Транспортный налог - 22,7;                                                                                                                                                                                                                     ^Текущий ремонт помещений по адресу: рп Усть-Абакан, ул.Октябрьская,18 -613,7.                                                  </t>
    </r>
    <r>
      <rPr>
        <b/>
        <sz val="14"/>
        <color theme="1"/>
        <rFont val="Times New Roman"/>
        <family val="1"/>
        <charset val="204"/>
      </rPr>
      <t>6.Реализация инфраструктурных проектов-76442,0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^Бюджетные инвестиции в соответствии с концессионным соглашением на проектирование, строительство, реконструкцию тепловых сетей муниципального образования Опытненский сельсовет, Расцветовский сельсовет Усть-Абаканского района Республики Хакасия-76442,0 .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</si>
  <si>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- 1751,8</t>
    </r>
    <r>
      <rPr>
        <sz val="14"/>
        <rFont val="Times New Roman"/>
        <family val="1"/>
        <charset val="204"/>
      </rPr>
      <t>, в том числе: 1. Оплата труда - 909,6; 2. Начисления на выплаты по оплате труда - 274,3; 3.Услуги по содержанию имущества - 266,1; 4.Увеличение стоимости проч.расходов - 56,3; 5. Страхование ТС - 6,2; 6. Увеличение стоимости ОС - 8,9; 7. Увеличение стоимости ГСМ - 160,6; 8. Увеличение стоимости строй материалов - 4,7; 9. Увеличение стоимости прочих мат.запасов - 55,5; 10. Прочие расходы - 9,2.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</si>
  <si>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- 14532,8: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заработная плата – 10116,0; начисления на выплаты по оплате труда – 3077,3; услуги связи – 134,9; работы, услуги по содержанию имущества – 73,8; прочие работы, услуги – 661,9; страхование - 5,5; увеличение стоимости основных средств – 321,5; увеличение стоимости материальных запасов – 138,3; прочие расходы – 1,6; командировочные расходы-2,0.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</si>
  <si>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- 122161,0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- 109566,0;                                                                   ^Иные межбюджетные трансферты на поддержку мер по обеспечению сбалансированности бюджетов поселений - 12595,0.     </t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</si>
  <si>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- 11038,5,</t>
    </r>
    <r>
      <rPr>
        <sz val="14"/>
        <rFont val="Times New Roman"/>
        <family val="1"/>
        <charset val="204"/>
      </rPr>
      <t xml:space="preserve"> в том числе: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 xml:space="preserve"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- 7815,0; начисления на выплаты по оплате труда – 2215,9; командировочные расходы - 51,8; услуги связи – 74,4; работы, услуги по содержанию имущества – 31,9; прочие работы, услуги – 491,5; страховка - 2,0; увеличение стоимости основных средств - 225,6; увеличение стоимости материальных запасов – 128,6; уплата прочих налогов - 1,8. 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</si>
  <si>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- 722,3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</si>
  <si>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- 1347,9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- 610,6 (РХ)      </t>
    </r>
  </si>
  <si>
    <r>
      <t xml:space="preserve">5. Повышение эффективности деятельности органов местного самоуправления - </t>
    </r>
    <r>
      <rPr>
        <sz val="14"/>
        <rFont val="Times New Roman"/>
        <family val="1"/>
        <charset val="204"/>
      </rPr>
      <t xml:space="preserve">205,6, из них </t>
    </r>
    <r>
      <rPr>
        <b/>
        <sz val="14"/>
        <rFont val="Times New Roman"/>
        <family val="1"/>
        <charset val="204"/>
      </rPr>
      <t xml:space="preserve">200,6 (РХ), 5,0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32 человека, в том числе: администрация - 13чел. (71,3), УЖКХ - 3чел. (15,3), УФиЭ - 4 чел. (19,4), УИО - 6чел. (47,8), УЗ - 2чел. (5,0),УО-4 чел.(46,8).</t>
    </r>
  </si>
  <si>
    <r>
      <t xml:space="preserve">1.Осуществление государственных полномочий по организации и осуществлению деятельности по опеке и попечительству - 8391,8 (РХ): 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респуб.бюджета на оплату труда - 7098,4, услуги связи -194,0, коммунальные услуги - 39,2, услуги по содержанию имущества - 416,9, прочие услуги - 168,0, приобретение мат.запасов -249,2, приобретение основных средств-188,0,прочие расходы-38,1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- 43320,4 (РХ),</t>
    </r>
    <r>
      <rPr>
        <sz val="14"/>
        <rFont val="Times New Roman"/>
        <family val="1"/>
        <charset val="204"/>
      </rPr>
      <t xml:space="preserve"> в том числе: Опекунское пособие на 277 ребенка - 24866,3; вознаграждение приемным семьям 52 чел. - 18454,1.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- 43207,5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32146,0 (РХ), 11061,5 (ФБ) </t>
    </r>
    <r>
      <rPr>
        <sz val="14"/>
        <rFont val="Times New Roman"/>
        <family val="1"/>
        <charset val="204"/>
      </rPr>
      <t>Приобретены 17 квартир для лиц из числа детей-сирот и детей, оставшихся без попечения родителей, общей площадью 639,6 кв.м..</t>
    </r>
  </si>
  <si>
    <r>
      <rPr>
        <b/>
        <sz val="14"/>
        <rFont val="Times New Roman"/>
        <family val="1"/>
        <charset val="204"/>
      </rPr>
      <t>1.Органы местного самоуправления - 5584,04</t>
    </r>
    <r>
      <rPr>
        <sz val="14"/>
        <rFont val="Times New Roman"/>
        <family val="1"/>
        <charset val="204"/>
      </rPr>
      <t xml:space="preserve">, в том числе: Заработная плата - 4072,31; Начисления на выплаты по оплате труда - 1218,16; Услуги связи - 23,28; Услуги по содержанию имущества - 12,64; 5. Прочие работы и услуги - 118,05; Увеличение стоимости прочих материальных запасов - 49,45; Суточные - 6,0; Проезд, проживание - 58,69; Прочие расходы - 0,46;Увеличение стоимости основных средств - 23,49.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- 22822,46,</t>
    </r>
    <r>
      <rPr>
        <sz val="14"/>
        <rFont val="Times New Roman"/>
        <family val="1"/>
        <charset val="204"/>
      </rPr>
      <t xml:space="preserve"> в том числе: Заработная плата - 15738,68; Начисления на выплаты по оплате труда - 4719,71;  Услуги связи - 57,58; Услуги по содержанию имущества - 61,01;  Прочие работы, услуги - 379,69; Страхование автомобиля - 4,14; Увеличение стоимости  ГСМ - 393,61; Увеличение стоимости прочих оборотных запасов (материалов) - 177,28; Увеличение стоимости основных средств - 1263,39; Прочие расходы - 27,37.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</si>
  <si>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1.Обеспечение деятельности подведомственных учреждений (МБУК «Усть-Абаканская ЦБС») - 30829,9</t>
    </r>
    <r>
      <rPr>
        <sz val="14"/>
        <rFont val="Times New Roman"/>
        <family val="1"/>
        <charset val="204"/>
      </rPr>
      <t>, в том числе: 1. Заработная плата (ст.211) — 21 825,04; 2. Начисления на выплаты по оплате труда (ст.213) — 6 528,48; 3. Услуги связи (ст.221) — 192,82; 4. Коммунальные услуги (ст.223) — 985,08; 5. Услуги по содержанию имущества (ст.225) — 290,93 (тех.обслуж.пож.сигн., приборов учета тепловой энергии, электротех.обслуж.); 6. Прочие работы, услуги (ст.226) — 326,8 (услуги по охране); 7.  Увеличение стоимости прочих оборотных запасов (материалов)(ст.346) — 228,93 (хоз.товары); 9. Увеличение стоимости основных средств (ст.310) — 142,10; 10. Приобретение угля (ст.343) — 97,43; 11. Транспортные расходы (ст. 222)-5,24;  12. Увеличение стоимости строительных материалов (ст.344) — 192,82;  13. Прочие расходы (ст.290) — 12,13, остатки на счете-2,1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</si>
  <si>
    <r>
      <t>2.Мероприятия по поддержке и развитию культуры, искусства и архивного дела - 1532,7,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1. Приобретение стеллажей - 168,6;                                                                                                                                                                         2. Изготовление дизайн-проекта В-Биджинской библиотеки - 300,0;                                                                                                                          3. Открытие центра доступа в Весенненской библиотеке (приобретение мониторов, МФУ) - 100,8;                                                                     4. Повышение проф.уровня библиотечных работников - 30,5;                                                                                                                                   5. Приобретение биб.техники - 20,0;                                                                                                                                                                            6. Подключение лицензии ЛитРес- 35,0;                                                                                                                                                                       7. Комплектование литературой - 415,0;                                                                                                                                                                                        8. Приобретение сист.блоков, столов, стульев, муз.центра - 120,0;                                                                                                                                                                                                             9. Проведение мероприятий, направленных на популяризацию чтения в Усть-Абаканском районе - 10,2 (Открытие недели детской и юношеской книги «Книжный карнавал» - 2,4, конкурс работа клубов по интересам «Библиотечный меридиан» - 1,6, Чемпионат по чтению вслух среди старшеклассников «Страница 22» - 1,0, День открытых дверей - 5,2);                                                                                                                                                                                                                                                                                10. Летняя программа чтение - 1,9;                                                                                                                                                                                                                                                                                11. Юбилей в кругу друзей 45 лет библиотеки п.Тепличный - 8,1;                                                                                                                                                                                 12. Формирование 19 детских кружков по интересам в летний период - 5,0;                                                                                                                       13. Проведение праздника «Маленькие дети на большой планете - 2,0;                                                                                                                        14. Интеллектуальная игра «Чемпионат читателей» - 0,75.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</t>
    </r>
  </si>
  <si>
    <r>
      <t xml:space="preserve">3.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462,8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9,3 (МБ), 453,5 (РХ) </t>
    </r>
    <r>
      <rPr>
        <sz val="14"/>
        <rFont val="Times New Roman"/>
        <family val="1"/>
        <charset val="204"/>
      </rPr>
      <t>Предоставление широкополостного доступа к сети интернет 13-ти филиалам МБУК «Усть-Абаканская ЦБС».</t>
    </r>
  </si>
  <si>
    <r>
      <t xml:space="preserve">Сохранение культурных ценностей:
1.Обеспечение деятельности подведомственных учреждений МБУК «Усть-Абаканский районный историко-краеведческий музей» - 4215,3, </t>
    </r>
    <r>
      <rPr>
        <sz val="14"/>
        <rFont val="Times New Roman"/>
        <family val="1"/>
        <charset val="204"/>
      </rPr>
      <t xml:space="preserve">в том числе: 1. Заработная плата (ст.211) —  2 187,87; 2. Начисления на выплаты по оплате труда (ст.213) — 655,99; 3. Услуги связи (ст. 221) - 30,84; 4.Коммунальные услуги (ст.223) — 200,88; 5. Услуги по содержанию имущества (ст.225) — 252,1; 6. Прочие работы, услуги (ст.226) — 188,94; 7. Страхование  (ст. 227)— 26,02;  8.Увеличение стоимости прочих оборотных запасов (материалов)(ст.346)  - 71,1 (хоз.товары, канц.товары); 9. Увеличение стоимости ГСМ (ст.343) — 127,06; 10 Увеличение стоимости строительных материалов (ст.344) — 121,2; 11. Увеличение стоимости медикаментов и перевязочных средств (ст.341) — 0,84 (аптечка автомобильная); 12. Прочие расходы (ст.290) — 170,28 (налоги, пени); 13. Увеличение стоимости основных средств (ст.310) — 158,18; 14. Увеличение стоимости мягкого инвентаря (ст. 345) —24,0 (изготовление чехлов на автобус).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</si>
  <si>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Обеспечение безопасности музейного фонда и развитие музеев - 1784,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Мероприятие «Чыл-Пазы» - 29,5;                                                                                                                                                                                                                  2. Приобретение национального костюма (платье женское, сигидек, гол.убор) - 25,0;                                                                                             3. Ветровки с символикой - 15,0;                                                                                                                                                                             4. Дезинсекция (клещи) - 70,3;                                                                                                                                                                                       5. Опашка территории - 11,2;                                                                                                                                                            6.Ожившая история Долины Царей (проведение обряда, мастер-классы, дегустация напитков) - 27,4</t>
    </r>
  </si>
  <si>
    <r>
      <t>Развитие архивного дела:                                                                                                                                                                                                       1. Мероприятия по поддержке и развитию культуры, искусства и архивного дела - 67,8</t>
    </r>
    <r>
      <rPr>
        <sz val="14"/>
        <rFont val="Times New Roman"/>
        <family val="1"/>
        <charset val="204"/>
      </rPr>
      <t xml:space="preserve">, в том числе: Приобретение стеллажей - 16,3, стремянок - 12,7,микроволновка-13,0,стулья-23,7,гигрометр-2,2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</t>
    </r>
  </si>
  <si>
    <r>
      <t xml:space="preserve">4.Капитальный ремонт в муниципальных учреждениях, в том числе проектно-сметная документация - 4070,5,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1.  Проверка ПСД на кап.ремонт.здания музея — 44,8; 2. Кап. Ремонт стен, фасада и фундамента здания 2 корпуса музея-4025,7.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</si>
  <si>
    <r>
      <t xml:space="preserve">2.Мероприятия по поддержке и развитию культуры, искусства и архивного дела - 3733,9:    </t>
    </r>
    <r>
      <rPr>
        <sz val="14"/>
        <rFont val="Times New Roman"/>
        <family val="1"/>
        <charset val="204"/>
      </rPr>
      <t xml:space="preserve">  </t>
    </r>
    <r>
      <rPr>
        <sz val="13"/>
        <rFont val="Times New Roman"/>
        <family val="1"/>
        <charset val="204"/>
      </rPr>
      <t xml:space="preserve"> 1. Конкурс «Новогодняя сказка» - 2,7 (подарки); 2. Мероприятие «Этот старый Новый год» - 3,3 (оформление); 3. Фотоконкурс «Креативная Елка-2022» - 5,0 (награждение): 4.Конкурс детских рисунков «Дед Мороз и Снегурочка» - 4,8 (подарки); 5. Онлайн-тест «Блокада Ленинграда» - 1,6 (награждение); 6. Онлайн-конкурс видеопоздравлений, посвященный Татьяниному Дню — 1,6 (награждение); 7. Укрепление МТБ — 296,2 (МФУ струйный, садовый измельчитель, мойка); 8. Мероприятие, посвященное памяти о россиянах, исполнявших служебный долг за пределами Отечества — 7,0 (гвоздики, корзины для возложения к могиле); 9. Мероприятие, посвященное 33 годовщине вывода войск из Афганистана — 7,5 (Оформление фотовыставки); 10. Районный конкурс «Подарок к 8 марта» - 3,2 (подарки); 11. Мероприятие «Наша масленница широка и весела» - 3,0 (оформление); 12. Приобретение сенсорного стола — 314,0; 13. День космонавтики — 4,9 (подарки); 14. Изготовление трибуны к 9 мая — 120,0; 15. Возложение цветов к могиле Неизвестного солдата в рамках проведения Республиканского автопробега — 34,0; 16.Приобретение принтера — 100,0; 17.оформление мемориала к 9 мая — 14,3 (флаги); 18. Оформление клумбы «Звезда» - 5,0 (сетка, нитки, скобы);  19. Приобретение сувениров для участников автопробега — 12,0 (фляжки, пакеты); 20. Конкурс на лучшую эмблему (логотип) Усть-Абаканского музея — 1,0 (подарочные сертификаты); 21. Ночь музеев — 2,0 (маркеры-краска); 22. Салют, посвященный Дню Победы в ВОВ-400,0 23. Мастер-класс по изготовлению мыльных пузырей, - 0,6 (глицерин, жидкость для мытья посуды); 24.Мероприятия, посвященные Дню России — 4,8 (лента трикролор, фотобумага, краска для принтера); 25. Конкурс рисунков и акция , приуроченные ко Дню защиты детей 1 июня 2022 г. - 5,8 (мелки, шарики, сувениры); 26. Мастер-класс по изготовлению поделки «Солнышко в интерьере» - 0,6 (цветная бумага, фломастеры); 27. Оформление фотовыставки, посвященной истории районной больницы — 5,6 (фотобумага, краска для принтера); 28. Проведение митинга, посвященного Дню памяти и скорби с возложением цветов к Могиле Неизвестного солдата — 24,0 (баннер, цветы, корзины); 29. Приобретение стендов — 7,2;                       </t>
    </r>
    <r>
      <rPr>
        <b/>
        <sz val="14"/>
        <rFont val="Times New Roman"/>
        <family val="1"/>
        <charset val="204"/>
      </rPr>
      <t xml:space="preserve">                         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</si>
  <si>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- 849,3: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1. Конкурс рисунков ко Дню защитника Отечества - 14,2 (оформление, призы); 2. Выставка-конкурс мастеров ДПТ «Волшебные нити» - 7,0 (оформление, призы); 3. Районный конкурс ДПИ «Броня крепка и танки наши быстры» - 5,0 (оформление, награждение); 4. Конкурс для девочек «На балу у Золушки» - 10,0 (оформление, награждение); 5. Районный фестиваль работников культуры «Звезда культуры» - 30,0; 6. Выставка-конкурс ДПТ «Мир спичек» - 4,0 (оформление, призы); 7. Районный фотоконкурс «Что такое счастье» - 2,1 (оформление); 8. Районный фотоконкурс «Женщины могут все» - 5,4 (сувениры); 9. Конкурс ДПИ кукла в национальном костюме — 6,6 (призы); 10. Мероприятия в рамках проекта «Лето, солнце, 100 фантазий» - 15,0 (оформление, игры, призы, сувениры); 11. Проект «Вышитая карта Хакасии» - 2,7 (нитки, ткань, иглы); 12. Конкурс художественного чтения «Поэтическая весна» - 8,1 (оформление, призы); 13. Мероприятия, посвященные Дню России в поселениях — 11,5 (баннеры, подарки); 14. Онлайн-проект «Звездные семьи Усть-Абаканского района» - 0,9 (подарки); 15. Проведение концерта для выпускников Усть-Абаканского района — 29,3 (услуги диджея и вокалиста); 16. Праздничный концерт, посвященный 90-летию Пожарной охраны — 20,4 (оформление, подарки); 17. Районный праздник Чир-Ине — 12,5 (оформление, награждение); 18. Участие в Межрегиональном конкурсе русского танца»Сибирское раздолье» - 5,0 (оргвзнос. транспортные услуги); 19.Проведение выездных мероприятий в сельских поселениях района — 1,6 (награждение); 20. Пошив костюмов творческим коллективам для участия в фестивале КИТ — 25,2; 21. Выставка-конкурс ДПИ Пасхальное чудо — 8,0 (оформление, награждение); 22. Участие в Межрегиональном конкурсе-фестивале Вокального мастерства — 3,0 (орг.взнос);                                                                                                                 </t>
    </r>
  </si>
  <si>
    <t>23. Участие в Международном разножанровом фестивале Вокального мастерства КИТ — 11,8 (орг.взнос); 24. Районный конкурс детского и юношеского творчества «Надежда нации» - 29,7 (оформление сцены, призы); 25. Участие в конкурсе «И Песня ковала Победу» - 1,0 (оргвзнос); 26. День дошкольного работника — 19,5 (оформление, подарки); 27. Конкурс ДПИ «Шишечное                                                                                                                                                         настроение» — 5,5 (подарки); 28. Мастер-класс «Каллиграфия. Основы» - 3,4 (расходный материал); 29.  День с.Зеленое — 15,5 (подарки); 30. День села аал.Райков, «День Лошади» - 26,9 (призы, изготовление игр); 31. Конкурс фотографий, приуроченный к 110-летию аал.Райков — 18,0 (шоперы, футболки); 32. Игровая программа «По морям, по океанам» - 5,2 (подарки); 33. День пожарной охраны — 26,9 (оформление, награждение); 34. Ярмарка «Дружный бизнес Хакасии» - 5,7 (сборка главной сцены); 35.Конкурс фотографий ко Дню Молодежи — 16,0 (подарки, баннер); 36. Новогодние мероприятия «Елка» Главы-285,0 (оформление, призы); 37. Конкурс рисунков-2,4; 38. Рожденные в СССР-25,5; 39. Веселое рождество-20,2; 40. Золотые ручки наших мастеров- 5,4; 41. Мой любимый папа-5,8; 42. Приобретение обуви-52,2, 43. Фотоконкурс радость отцовства-3,0; 44. Конкурс "Мастерская природы"-7,0; 45. остаток на счете -30,2</t>
  </si>
  <si>
    <t xml:space="preserve">19. Торжественный концерт «Минувших лет святая память» - 20,2 (флаги, открытки, свечи, баннер, водолазки); 20. Концерт, посвященный Дню местного самоуправления» - 71,2 (ткань, цветы, подарки, баннеры, оформление); 21. Конкурс художественного чтения среди детей «Поэтическая весна» - 8,1 (оформление, призы); 22. Юбилейный концерт Народного хора ветеранов «Жизнь как песня: задорная русская!» - 45,1 (Цветы, подарки, баннер, стулья); 23. Проведение мероприятия «Российский азимут-2022» - 9,4 (баннеры); 24. Концерт «Сердце моё Россия»-11,4 (мел, ткань, баннер); 25. Онлайн-конкурс «Звонкое чудо-частушка» - 6,0 (призы); 26. Мероприятие, посвященное Дню медицинского работника - 49,6 (оформление, награждение); 27.  ремонт электрооборудования МБУ "РДК Дружба" — 151,6; 28. День семьи, любви и верности — 10,5 (награждение); 29. Выездные мероприятия ст.Тигей, ст.Хоных, п.Ташеба — 9,0 (расходные материалы); 30. Акция «Целый мир-жаркое лето» - 5,0 (расходные материалы); 31. Ярмарка Дружный бизнес Хакасии — 5,2 (баннер); 32. Торжественное награждение волонтеров и организаторов фестиваля выпускников «Под алым парусом Хакасии» - 20,0 (оформление, награждение); 33. Ремонт водоснабжения РДК «Дружба» - 45,3; 34. Закрытие Юнармейской смены в ДК «Дружба» - 7,0 (сувениры); </t>
  </si>
  <si>
    <t xml:space="preserve">Первый Заместитель Главы администрации </t>
  </si>
  <si>
    <t>- руководитель Управления финансов и экономики администрации Усть-Абаканского района</t>
  </si>
  <si>
    <r>
      <rPr>
        <b/>
        <sz val="14"/>
        <rFont val="Times New Roman"/>
        <family val="1"/>
        <charset val="204"/>
      </rPr>
      <t xml:space="preserve">2. Мероприятия в области молодежной политики - 487,9,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 Встреча студенческой молодежи с Главой района - 2,5;                                                                                                                                  2. Районный видео-конкурс «История моего села во время ВОВ» - 4,9 (блокадный хлеб);                                                                                           3. Квиз ко Дню молодежи «Не вопрос» - 6,4;                                                                                                                                                                        4. Районный конкурс «Молодежная инициатива 2022» (стройматериалы) - 37,0;                                                                                                                       5. Фестиваль «Молодежный креатив» - 14,9;                                                                                                                                                             6. Грант Главы Усть-Абаканского района - 50,0;                                                                                                                                                 7. Районная акция «Экологическая неделя» - 10,0;                                                                                                                                             8. Квест «Энергия молодых в здоровое русло» - 1,9;                                                                                                                                                            9.Акции посвященные празднованию 9 мая - 25,4;                                                                                                                                                            10. Квиз «По следам предков» - 4,8;                                                                                                                                                                                     11. Акция «Оберегаем детство» - 4,6;                                                                                                                                                           12. Районный слет молодежи «Мега-пикник» - 41,3;                                                                                                                                       13. Районная акция «Ветеран живет рядом» - 24,4;                                                                                                                                                      14. Районная акция «Безымянных могил не бывает» - 14,0;                                                                                                                          15. Оплата трудоустройства несовершеннолетних (услуги монтажа видеороликов, озеленение территорий) - 38,5.                                                                                                                 </t>
    </r>
  </si>
  <si>
    <t>16. Премия Главы (премия, цветы)-50,0;                                                                                                                                                                       17. День добровольца-11,1;                                                                                                                                                                                                 18. Доброспектр-4,3;                                                                                                                                                                                                              19. Форум активной молодежи-59,5;                                                                                                                                                                                        20. Волонтером быть здорово-9,3;                                                                                                                                                                                            21. Конкурс для детей с ограниченными возможностями-6,3;                                                                                                                   21. Приобретение компьютерной техники-54,0;                                                                                                                                                              22. Завтрак с Главой-7,1;                                                                                                                                                                                                                 23.День неизвестного Солдата-5,7 (памятки)</t>
  </si>
  <si>
    <r>
      <t xml:space="preserve">2.Обеспечение развития отрасли физической культуры и спорта - </t>
    </r>
    <r>
      <rPr>
        <sz val="14"/>
        <rFont val="Times New Roman"/>
        <family val="1"/>
        <charset val="204"/>
      </rPr>
      <t>7795,0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(МБУДО "Усть-Абаканская СШ") - 5117,4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1. Заработная плата - 3931,5; 2. Начисления на выплаты по оплате труда - 1185,9.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</si>
  <si>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Создание условий для занятий физической культурой и спортом - 3111,80, в том числе                                                          </t>
    </r>
    <r>
      <rPr>
        <sz val="14"/>
        <rFont val="Times New Roman"/>
        <family val="1"/>
        <charset val="204"/>
      </rPr>
      <t>1.Прокат ледового катка для занятий по хоккею с мячом-288,0;                                                                                                                         2.Текущий ремонт стен и потолков СШ-2008,5;                                                                                                                                                      3.Ремонт зала для занятия гиревым спортом-636,1;                                                                                                                                                      4.Текущий ремонт спортивного зала В-Биджа-179,2</t>
    </r>
  </si>
  <si>
    <r>
      <t xml:space="preserve">4.Укрепление материально-технической базы - 779,3,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1. Будо-маты - 331,2;                                                                                                                                                                                                      2. Мебель (столы) - 68,1;                                                                                                                                                                                                             3. Спортинвентарь (мячи, утяжелители, шлемы, перчатки, тренажеры, медецинболы) - 350,0;                                                              4.Стенд-30,0.</t>
    </r>
  </si>
  <si>
    <r>
      <t xml:space="preserve">6.Строительство универсального спортивного зала п.Усть-Абакан - 3003,1,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1. Повторная госэкспертиза - 60,2;                                                                                                                                                                                                2. Внесение изменений в сметную документацию - 148,7;                                                                                                          3.Государственное экспертное наблюдение и сопровождение объекта-300,8;                                                                                         4.Внесение изменений в проектную документацию -255,3;                                                                                                                                                                   5. Авторский надзор - 193,9;                                                                                                                                                                                                       6.Стройконтроль - 2044,2.</t>
    </r>
  </si>
  <si>
    <r>
      <rPr>
        <b/>
        <sz val="14"/>
        <rFont val="Times New Roman"/>
        <family val="1"/>
        <charset val="204"/>
      </rPr>
      <t>3.Физкультурно-оздоровительная работа с различными категориями населения - 961,2,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«Лыжня России-2022» - 3,5;                                                                                                                                                                                      2. Первенство Усть-Абаканского района по мини-футболу - 5,5;                                                                                                                                    3. Проведение 1 этапа зимнего фестиваля ВФСК «Готов к труду и обороне» (ГТО) среди учащихся III-V ступени общеобразовательных учреждений У-Абаканского района - 4,8;                                                                                                                                           4. Турнир по хоккею с мячом на Кубок Главы Усть-Абаканского района среди мальчиков - 36,5;                                                                                                                  5. Турнир по хоккею с мячом на призы Заслуженного мастера спорта России Джусоева Алана среди мальчиков 2010-2011 гг.р. - 6,7;                                                                                                                                                                                                                                        6. Фестиваль по волейболу - 2,94;                                                                                                                                                                                                            7. Первенство Усть-Абаканского района по волейболу - 4,92;                                                                                                                               8. Первенство по Мини-футболу - 6,3;                                                                                                                                                           9. Спортивные мероприятия, посвященные празднованию Дню Защиты детей - 10,0;                                                                                                                                                10. Первенство Усть-Абаканского района по русской лапте, посвященное Дню России - 1,8;                                                                                                              11. Спартакиада ВФСК «Готов к труду и обороне» (ГТО) - 12,14;                                                                                                                                            12. Соревнования «Рекорды ГТО» в рамках акции «Лето с ГТО» - 4,8;                                                                                                                                                   13. Открытый турнир по настольному теннису, посвященного Всероссийскому дню настольного тенниса - 1,8;                                                                                                                                                                                                                          14. Открытый турнир по всестиливому каратэ «Кубок Победы» - 10,0;                                                                                                                                      15. Муниципальный этап республиканских соревнований «Школьная спортивная лига Хакасии» - 10,8;                                                                                                              16. Лично-командное первенство спортивной школы по русским шашкам среди дошкольников - 1,8; </t>
    </r>
  </si>
  <si>
    <t xml:space="preserve">17. Турнир по футболу среди школьных команд, посвященный памяти Героя Советского Союза Доможакова М.Е. - 7,5;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 Спартакиада среди лиц с ограниченными возможностями здоровья - 8,9;                                                                                                 19. Открытый турнир по греко-римской борьбе памяти Н.Н.Доможакова - 8,4;                                                                                                                     20. Турнир по мини футболу, посвященному памяти Е.В.Шихову - 10,1;                                                                                                                                   21. Изготовление баннера и проведение мероприятий, приуроченных к празднованию 77-летия со дня Победы в ВОВ - 8,5;                                                                                                                                                                                                                                                     22. Изготовление баннера ГТО - 4,0;                                                                                                                                                                                            23. Открытый турнир Усть-Абаканской СШ по настольному теннису, посвященный празднованию Победы в ВОВ среди юношей и девушек 2006 г.р. и младше - 2,2;                                                                                                                                                                        24. Открытое первенство МБУДО Усть-Абаканская СШ по футболу среди юношей и девушек, посвященное празднованию Победы в ВОВ - 2,4;                                                                                                                                                                              25. Проведение спортивных мероприятий, обеспечение подготовки команд - 19,9;                                                                                                                           26. Шахматный турнир в честь Дня Победы (мужчины, женщины) - 5,0;                                                                                                                              27. Кубок победы по баскетболу (мужчины) - 7,0;                                                                                                                                                                                  28. Кубок победы по футболу - 7,0;                                                                                                                                                                                                    29. Кубок Победы по волейболу - 7,0;                                                                                                                                                                           30. Первенство Усть-Абаканского района по футболу - 7,0;                                                                                                                                                                                                                                                             31. Районные соревнования по пулевой стрельбе в честь Дня Победы среди лиц с ограниченными возможностями здоровья - 7,0;                                                                                                                                                                                             </t>
  </si>
  <si>
    <t>32. Проведение XV-й Спартакиады Усть-Абаканского района, посвященной Победе советского народа в ВОВ - 27,5;                                                                                                                                                                                                                      33. Детям планеты - мир без наркотиков - 5,0;                                                                                                                                                                                 34. Проведение спортивно-массовых мероприятий «Открытие спортивного сезона - 2022» - 61,0;                                                                                          35. Соревнования «Легкоатлетический забег ВФСК ГТО» - 5,4;                                                                                                                                            36. Всероссийский день физкультурника - 33,0;                                                                                                                                                          37.Веселые старты-26,3;                                                                                                                                                                                              38.Турнир по хоккею с мячом-16,0;                                                                                                                                                                             39.ГТО среди трудовых коллективов-60,0;                                                                                                                                                                   40. Открытие сезона массовых катаний-44,0;                                                                                                                                                             41.Спартакиада ГТО-4,2;                                                                                                                                                                                        42.Турнир памяти Дураева-19,5(медали,кубки);                                                                                                                                                    43.Турнир по шахматам-5,9;                                                                                                                                                                           44.Первенство Усть-Абаканского района по баскетболу-15,3;                                                                                                          45.Новогодние мероприятия(изготовление ледяных горок)-284,0;                                                                                       46.Турнир по мини-футболу-22,6;                                                                                                                                                   47.Первенство района по волейболу-40,0;                                                                                                                                                   48.Первенство района по волейболу среди ветеранов-25,5;                                                                                                                 49.Спортивные старты-29,8(призы).</t>
  </si>
  <si>
    <r>
      <rPr>
        <b/>
        <sz val="14"/>
        <rFont val="Times New Roman"/>
        <family val="1"/>
        <charset val="204"/>
      </rPr>
      <t xml:space="preserve">1. Социальные выплаты гражданам, в соответствии с действующим законодательством - </t>
    </r>
    <r>
      <rPr>
        <sz val="14"/>
        <rFont val="Times New Roman"/>
        <family val="1"/>
        <charset val="204"/>
      </rPr>
      <t>14999,7, из них:</t>
    </r>
    <r>
      <rPr>
        <b/>
        <sz val="14"/>
        <rFont val="Times New Roman"/>
        <family val="1"/>
        <charset val="204"/>
      </rPr>
      <t xml:space="preserve"> 9145,07 (МБ), 5854,6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^Доплаты к пенсиям муниципальным служащим - 7221,1;                                                                                                                                                  ^Оказание материальной помощи малообеспеченным категориям населения  (4 чел.) - 80,0;                                                                                                                 ^Обеспечение мер социальной поддержки специалистов культуры, проживающих в сельской местности (компенсация за комунальные услуги специалистам культуры вышедшим на пенсию, проживающим и работающим  в сельской местности) - 44,0;                     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- 230,0 (16 чел.);                                                                                                                                                                             ^Осуществление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 - 620,4 (РХ).                                                                                                                                                                                         ^Оказание адресной помощи гражданам,призванным по частичной мобилизации-1570,0;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2.Осуществление государственных полномочий по выплатам гражданам, имеющим детей -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5234,2 (РХ) ^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</si>
  <si>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t>1.Обеспечение деятельности подведомственных учреждений (муниципальное автономное учреждение «Усть-Абаканский загородный лагерь Дружба» - 2718,2</t>
    </r>
    <r>
      <rPr>
        <sz val="14"/>
        <rFont val="Times New Roman"/>
        <family val="1"/>
        <charset val="204"/>
      </rPr>
      <t xml:space="preserve">, Субсидии на выполнения муниципального задания из средств МБ: оплата труда - 2251,5, коммунальные услуги - 131,9, прочие услуги - 7,9, прочие расходы - 92,6, приобретение мат.запасов - 229,1,приобретение основных средств-5,2.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 xml:space="preserve">Капитальный ремонт, в муниципальных учреждениях, т.ч. разработка ПСД - 33,7 </t>
    </r>
    <r>
      <rPr>
        <sz val="14"/>
        <rFont val="Times New Roman"/>
        <family val="1"/>
        <charset val="204"/>
      </rPr>
      <t>Проверка сметной документации на капитальный ремонт МАУ "ЗЛ "Дружба"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3.Мероприятия по организации отдыха, оздоровления и занятости несовершеннолетних - 2881,8,</t>
    </r>
    <r>
      <rPr>
        <sz val="14"/>
        <rFont val="Times New Roman"/>
        <family val="1"/>
        <charset val="204"/>
      </rPr>
      <t xml:space="preserve"> из них: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^Приобретение облучателей, мебели и мягкого инвентаря зл Дружба - 2638,0;                                                                                                                        ^Организация временного трудоустройства несовершеннолетних граждан в свободное от учебы время (в том числе состоящие на учете в КДН) - 7 учр. (23 реб.) - 141,6;                                                                                                                          ^Трудовой отряд "СУЭК" оплата труда несовершеннолетних МБОУ "Усть-Абаканская СОШ" (10 чел.) - 86,2;                                                                                                                                                                                                                                         ^Приобретение формы трудового отряда - 16,0.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</si>
  <si>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3.Мероприятия в сфере развития земельно-имущественных отношений - 795,0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- 795,0.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4.Подготовка документов территориального планирования и правил землепользования и застройки - 3584,0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^Подготовка документов территориального планирования и градостроительного зонирования (внесение в них изменений), выполнение работ для обеспечения дальнейшей постановки на кадастровый учет границ населенных пунктов и территориальных зон МО Усть-Абаканский район (В-Биджинский с/с, Московский с/с)-3584,0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</si>
  <si>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>Обеспечение деятельности органов местного самоуправления -12157,9,</t>
    </r>
    <r>
      <rPr>
        <sz val="14"/>
        <rFont val="Times New Roman"/>
        <family val="1"/>
        <charset val="204"/>
      </rPr>
      <t xml:space="preserve"> из них:                                                            </t>
    </r>
    <r>
      <rPr>
        <b/>
        <sz val="14"/>
        <rFont val="Times New Roman"/>
        <family val="1"/>
        <charset val="204"/>
      </rPr>
      <t xml:space="preserve">1.Органы местного самоуправления - 9901,3, </t>
    </r>
    <r>
      <rPr>
        <sz val="14"/>
        <rFont val="Times New Roman"/>
        <family val="1"/>
        <charset val="204"/>
      </rPr>
      <t xml:space="preserve">в том числе: заработная плата – 6009,4; социальное пособие - 11,8; начисления на выплаты по оплате труда – 1741,8; услуги связи – 115,7; коммунальные услуги - 416,0; работы, услуги по содержанию имущества –120,2; прочие работы, услуги – 163,2; страхование - 2,2; увеличение стоимости основных средств -22,0; увеличение стоимости материальных запасов – 288,3; прочие расходы –975,8; налог на имущество-28,0; транспортный налог-6,7; штрафы,пени-0,2.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2.Содержание объекта по утилизации биологических отходов - 190,7 </t>
    </r>
    <r>
      <rPr>
        <sz val="14"/>
        <rFont val="Times New Roman"/>
        <family val="1"/>
        <charset val="204"/>
      </rPr>
      <t xml:space="preserve">оплата за охрану и содержание объекта по договору.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3.Осуществление отдельных государственных полномочий по предупреждению и ликвидации болезней животных - 2065,9 (РХ)</t>
    </r>
    <r>
      <rPr>
        <sz val="14"/>
        <rFont val="Times New Roman"/>
        <family val="1"/>
        <charset val="204"/>
      </rPr>
      <t>, из них: заработная плата – 661,4; начисления на выплаты по оплате труда – 199,7; уничтожение биологических отходов путем сжигания в спец.печах - 1027,6; ГСМ - 96,3; страховка - 3,4; запчасти - 0,6,ремонт спецавтомобиля-73,9; предрейсовый осмотр водителя-3,0.</t>
    </r>
  </si>
  <si>
    <t xml:space="preserve">^Замена окон, дверей (д/с Аленушка-92,5, д/с Рябинушка-675,4) - 767,9;                                                                              ^Монтаж ограждения (д/с Родничок-324,0, д/с Звездочка-424,7) - 748,7;                                                                                                         ^Приобретение стиральной машины (д/с Рябинушка) - 50,0;                                                                                                      ^Приобретение оборудования в группу здоровья (д/с Ромашка) - 82,6;                                                                                                                            ^Дооборуд., ремонт видеонаблюдения (д/с Радуга-15,0,д/сАленушка-44,8) - 59,8;                                                                                                                      ^Ремонт крыльца (д/с Рябинушка-250,0; д/с Радуга-575,0) - 825,0;                                                                                                          ^Приобретение жалюзи (д/с Ромашка) - 23,4.                                                                                                                                                             ^Ремонт помещений: (д/с Рябинушка-1475,7, д/с Ласточка-187,2, д/с Радуга-763,6; д/с Родничок-511,0 (пищ.блок) - 2937,5;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</si>
  <si>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- 3643,3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(Росток-20,0, В-Биджинская СОШ-17,4, Райковская СОШ-19,4) - 56,8;                                                                                                                                                                                                                                                                                                   ^ПСД на кап.ремонт (Весенненская СОШ) - 398,6;                                                                                                                         ^Гос.экспертиза сметной стоимости на капитальный ремонт (Чапаевская СОШ-98,0; В-Биджинская СОШ-74,4,) - 172,4.                                                                                                                                                                                                                             ^Капитальный ремонт кровли Весенненская СОШ-3015,5.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</si>
  <si>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^Проведение конкурса управленческих комад - 20,2;                                                                                                                                                     ^Проведение конкурса "Педагог дошкольного образования" - 30,3;                                                                                                               ^Августовская конференция - 37,1;                                                                                                                                                                                     ^День учителя - 15,0;                                                                                                                                                                                                      ^День дошкольного работника - 15,0,                                                                                                                                                    ^"Победители"-8,0;                                                                                                                                                                                                       ^Учитель года-34,3; ^Приобретение роутера: Расцветская СОШ-6,0; ^Приобретение муз.оборуд.:Весенненская СОШ-10,0;В-Биджинская СОШ-10,0,Опытненская СОШ-20,0. ^Бурение скважины: Солнечная СОШ-70,0: ^Монтаж пандуса:Сапоговская СОШ-158,0,Райковская СОШ-215,9.</t>
  </si>
  <si>
    <r>
      <rPr>
        <b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</t>
    </r>
    <r>
      <rPr>
        <sz val="14"/>
        <rFont val="Times New Roman"/>
        <family val="1"/>
        <charset val="204"/>
      </rPr>
      <t>3061,2, из них</t>
    </r>
    <r>
      <rPr>
        <b/>
        <sz val="14"/>
        <rFont val="Times New Roman"/>
        <family val="1"/>
        <charset val="204"/>
      </rPr>
      <t xml:space="preserve">:  3000,0(РХ), 61,2(МБ)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^Приобретение учебной мебели (Росток-102,0, Райковская СОШ-591,84, У-Абаканская СОШ-591,84, Расцветская СОШ-295,92, Московская СОШ-591,84, В-Биджинская СОШ-591,84, Опытненская СОШ-295,92)       </t>
    </r>
  </si>
  <si>
    <r>
      <rPr>
        <b/>
        <sz val="14"/>
        <color theme="1"/>
        <rFont val="Times New Roman"/>
        <family val="1"/>
        <charset val="204"/>
      </rPr>
      <t xml:space="preserve">Региональный проект Республики Хакасия «Цифровая образовательная среда»                                                                                                   1.Обеспечение образовательных организаций материально-технической базой для внедрения цифровой образовательной среды </t>
    </r>
    <r>
      <rPr>
        <sz val="14"/>
        <color theme="1"/>
        <rFont val="Times New Roman"/>
        <family val="1"/>
        <charset val="204"/>
      </rPr>
      <t xml:space="preserve">- 4223,7, из них: </t>
    </r>
    <r>
      <rPr>
        <b/>
        <sz val="14"/>
        <color theme="1"/>
        <rFont val="Times New Roman"/>
        <family val="1"/>
        <charset val="204"/>
      </rPr>
      <t xml:space="preserve">4139,6 (РФ); 41,8 (РХ); 42,2 (МБ)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^Приобретение орг.техники: МБОУ "Московская СОШ им. А.П. Кыштымова"-361,0; МБОУ "Опытненская СОШ"-1931,3; МБОУ "Расцветская СОШ"-1931,4.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(ЦОС) -</t>
    </r>
    <r>
      <rPr>
        <sz val="14"/>
        <color theme="1"/>
        <rFont val="Times New Roman"/>
        <family val="1"/>
        <charset val="204"/>
      </rPr>
      <t xml:space="preserve"> 3061,2, из них: </t>
    </r>
    <r>
      <rPr>
        <b/>
        <sz val="14"/>
        <color theme="1"/>
        <rFont val="Times New Roman"/>
        <family val="1"/>
        <charset val="204"/>
      </rPr>
      <t xml:space="preserve">3000,0 (РХ), 61,2 (МБ)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^Ремонт кабинетов ЦОС и приобретение уч.мебели Опытненская СОШ-1020,4, Расцветская СОШ-1020,4, Московская СОШ-1020,4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</si>
  <si>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</t>
    </r>
    <r>
      <rPr>
        <b/>
        <sz val="14"/>
        <rFont val="Times New Roman"/>
        <family val="1"/>
        <charset val="204"/>
      </rPr>
      <t>1.Создание условия для обеспечения современного качества образования - 168,7</t>
    </r>
    <r>
      <rPr>
        <sz val="14"/>
        <rFont val="Times New Roman"/>
        <family val="1"/>
        <charset val="204"/>
      </rPr>
      <t xml:space="preserve">, из них:                                                                       ^Конкурсы, праздники для школьников и дошкольников - 43,8;                                                                                                                                           ^Проезд победителя "Звезда спасения" - 7,5;                                                                                                                                              ^Поощрительные выплаты выпускникам-медалистам - 80,0;                                                                                                                          ^Награждение выпускников - 14,5.                                                                                                                                                                              ^Олимпиады - 22,9.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</si>
  <si>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4.Создание условия для обеспечения современного качества образования - 1527,7,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^Ремонт освещения гаража ЦДО - 45,4;                                                                                                                                             ^Аккустика в актовый зал ЦДО - 81,6;                                                                                                                                              ^Орг.техника ЦДО - 252,2;                                                                                                                                                                         ^Учебная мебель ЦДО - 76,0;                                                                                                                                                                       ^Зап.части для картинга ЦДО - 120,1;                                                                                                                                                                            ^Монтаж эл.оборуд. ЦДО - 19,1;                                                                                                                                                                      ^Замена окон ЦДО - 843,7;                                                                                                                                                                                 ^Проверка качества огнезащитной обработки ЦДО - 3,5;                                                                                                                   ^Проведение интернета ЦДО - 25,2;                                                                                                                                                                                ^Организация палаточного лагеря "Вершина" - 45,8;                                                                                                                                                             ^Оборудование д/электротех ЦДО-15,1.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</si>
  <si>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rPr>
        <b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-4706,5.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2.Мероприятия по защите населения от чрезвычайных ситуаций, пожарной безопасности и безопасности на водных объектах - 306,0,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баннера по пожарной безопасности - 34,8;                                                                                                                         ^Устранение аварии на канализационном коллекторе в Расцветовском сельсовете-133,5;                                                                                                                ^Формирование резерва ЧС и запасов ГО -127,9;                                                                                                                                                        ^Ремонт оборудования для ВКС - 10,0.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3.Материально-техническое обеспечение единых дежурно-диспетчерских служб муниципальных образований - </t>
    </r>
    <r>
      <rPr>
        <sz val="14"/>
        <rFont val="Times New Roman"/>
        <family val="1"/>
        <charset val="204"/>
      </rPr>
      <t>446,6, из них:8,9</t>
    </r>
    <r>
      <rPr>
        <b/>
        <sz val="14"/>
        <rFont val="Times New Roman"/>
        <family val="1"/>
        <charset val="204"/>
      </rPr>
      <t xml:space="preserve"> (МБ), 437,7 (РХ)</t>
    </r>
    <r>
      <rPr>
        <sz val="14"/>
        <rFont val="Times New Roman"/>
        <family val="1"/>
        <charset val="204"/>
      </rPr>
      <t xml:space="preserve">, в том числе: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^Прибретение 7 систем оповещения - 160,8;                                                                                                                              ^Приобретение офисной мебели - 158,1;                                                                                                                                              ^Приобретение оргтехники (компьютер, МФУ,мыши для компьютера) - 127,7.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4.Иные межбюджетные трансферты на мероприятия по защите населения от чрезвычайных ситуаций, пожарной безопасности и безопасности на водных объектах - 284,5 </t>
    </r>
    <r>
      <rPr>
        <sz val="14"/>
        <rFont val="Times New Roman"/>
        <family val="1"/>
        <charset val="204"/>
      </rPr>
      <t xml:space="preserve">Профинансировано получение сельсоветами трансферта на обеспечение первичных мер пожарной безопасности (кроме Калининского сельсовета).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
</t>
    </r>
    <r>
      <rPr>
        <b/>
        <sz val="12"/>
        <rFont val="Times New Roman"/>
        <family val="1"/>
        <charset val="204"/>
      </rPr>
      <t/>
    </r>
  </si>
  <si>
    <t xml:space="preserve">15. Юбилей библиотеки филиал № 2  - 9,9;                                                                                                                                                                  16. День села Зеленое проведение мастер-класса - 1,4;                                                                                                                                                                               17.Мастер класс художественное оформление камня на мероприятии «Дружный бизнес Хакасии» - 3,8;                                                                                           18. Библиотечное оборудование (кресла, банкетки, стулья, столы и принтер МФУ) - 99,2;                                                                                                                         19 Мастер классы «День села Райков», праздник «День Лошади» - 13,5;                                                                                                                                            20. Монтаж освещения и розеток - 100,0;                                                                                                                                                            21.Юбилей (комплект настольных игр) — 5,10;                                                                                                                                                                       22. Юбилей детской библиотеки (книги, открытки, оформление, подарки) — 32,9;                                                                                   23. Принтер,мфу-49,0.                                                                                                                                                                            </t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</si>
  <si>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1.Мероприятия в сфере развития и гармонизации межнациональных отношений - 280,5:  </t>
    </r>
    <r>
      <rPr>
        <sz val="14"/>
        <rFont val="Times New Roman"/>
        <family val="1"/>
        <charset val="204"/>
      </rPr>
      <t xml:space="preserve">                                                                               1. Республиканское мероприятие Хакасского нового года «Чыл-Пазы» - 48,5;                                                                                                 2. Литература о народах России - 25,0;                                                                                                                                                          3. Поездка ансамбля Добро в г.Красноярск - 22,0;                                                                                                                                                                      4. Республиканский праздник Тун Пайрам - 92,3;                                                                                                                                            5. Национальный праздник «Уртун Тойы» - 62,1;                                                                                                                                                          6. Национальный конкурс «Алып-2022» - 12,1;                                                                                                                                                                     7. Муниципальный этап регионального конкурса юных чтецов «Родное слово – живое слово» (Тiрiг классика) - 0,5;                                                                                                                                                                                                          8. Региональный этап конкурса юных чтецов «Родное слово – живое слово» (Тiрiг классика) - 0,5;                                                                                                                      9. Районный спортивный праздник «Хакасские народные забавы «Кӱскӱ ойыннар» для воспитанников дошкольных образовательных организаций - 2,5;                                                                                                                                                                                  9. Наследие Таларцев-15,0.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</si>
  <si>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- 1779,8,</t>
    </r>
    <r>
      <rPr>
        <sz val="14"/>
        <rFont val="Times New Roman"/>
        <family val="1"/>
        <charset val="204"/>
      </rPr>
      <t xml:space="preserve"> в том числе:                             1. Заработная плата (ст.211) — 1 313,17;  2. Начисления на выплаты по оплате труда (ст.213) — 387,70; 3. Услуги связи (ст.221) — 22,50;  4. Услуги по содержанию имущества (ст.225) — 2,2 (заправка картриджа); 5.Прочие работы, услуги (ст.226) — 16,90 (услуги нотариуса-2,5; обучение противодействие коррупции — 8,5; сопровождение сайта-5,9);  6.Увеличение стоимости основных средств (ст.310) — 16,1(кресла — 14,31, флешка — 1,4, дырокол — 0,38); 7.Увеличение стоимости прочих оборотных запасов (ст.346) — 16,52 (канцтовары); 8.Прочие расходы (ст.290) — 3,41 (пени); остаток на счете-1,3               </t>
    </r>
  </si>
  <si>
    <r>
      <rPr>
        <b/>
        <sz val="14"/>
        <color theme="1"/>
        <rFont val="Times New Roman"/>
        <family val="1"/>
        <charset val="204"/>
      </rPr>
      <t>Мероприятия по профилактике злоупотребления наркотиками и их незаконного оборота</t>
    </r>
    <r>
      <rPr>
        <sz val="14"/>
        <color theme="1"/>
        <rFont val="Times New Roman"/>
        <family val="1"/>
        <charset val="204"/>
      </rPr>
      <t xml:space="preserve"> -</t>
    </r>
    <r>
      <rPr>
        <b/>
        <sz val="14"/>
        <color theme="1"/>
        <rFont val="Times New Roman"/>
        <family val="1"/>
        <charset val="204"/>
      </rPr>
      <t xml:space="preserve"> 20,9,</t>
    </r>
    <r>
      <rPr>
        <sz val="14"/>
        <color theme="1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^Мероприятия по профилактике асоциального поведения несовершеннолетних - 4,0 (КЗ 2021г 99,7 за ГСМ);                                  ^ Антинаркотическая акция"Родительский урок"-1,9;                                                                                                                                                                ^ Организация выпусков информационно-наглядных материалов по профилактике правонарушений среди молодежи и несовершеннолетних-2,0;                                                                                                                                                                                                             ^ Приобретение тест системы для экспресс диагностики наркотиков в организме-7,0;                                                                                                 ^В июне прошла районная антинаркотическая акция «Жизнь без наркотиков» в рамках проекта «Усть-Абаканский район без наркотиков» с охватом 786 человек. Приобретены призы (спортивный инвентарь) - 3,0;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^В течении апреля на территориях с.Московское, с.Калинино, аал Райков и п.Усть-Абакан была проведена акция «Здоровая Россия-общее дело», в рамках акции проведено 8 мероприятий, участвовало 21 команда (200 человек). Приобретены медали для победителей и призеров) - 3,0.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</si>
  <si>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- 50,0,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^ГСМ для проведения мероприятий-8,3;                                                                                                                                                                                          ^Поощрения(грамоты,рамки)-35,2;                                                                                                                                                                               ^Приобретение канцелярии-0,4;^ Питание-6,1.</t>
    </r>
  </si>
  <si>
    <r>
      <t>1.Мероприятия по профилактике безнадзорности и правонарушений несовершеннолетних - 113,3,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ГСМ для проведения рейдовых мероприятий - 2,0;                                                                                                                                           ^Приобретение канцелярии - 0,7;  ^Штампы-1,8; ^Входнаявывеска-2; ^Шредер-15,6;                                               ^Приобретение бумаги - 11,6;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(1.экскурсии в музей МВД, 2.Хакасский национальный музей, 3.кондитерскую «Малинники», 4.квест-игра) - 19,8;                                                                                    ^Трудоустройство в летний период н/летних, состоящих на проф.учете в КДН и ЗП                                                                                 Усть-Абаканский п/с – 2 н/летний - 14,8
Усть-Бюрский с/совет – 2 н/летних - 30,0.                                                                                                                                                                            Усть-Бюрский с/совет – 1 н/летних - 15,0.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</si>
  <si>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6. Ремонт автомобильных дорог - 17685,9,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Доможаковском сельсовете - 348,8;   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Московском сельсовете - 353,6,                                                                                                                                                                                                                                            ^Ремонт автомобильных дорог местного значения в границах муниципального образования Вершино-Биджинский сельсовет (ул. Юбилейная 0,454 км) - 3050,0;                                                                                                                                                                  ^Ремонт автомобильной дороги ул. Заречная с. Усть-Бюр (1,5 км) - 1950,0;                                                                                                                                                         ^Ремонт автомобильной дороги с. Солнечное - д. Курганная Усть-Абаканского района Республики Хакасия на участках: км 3+400 - км 3+800, км 4+500 - км 5+000 и организация безопасности дорожного движения на участке км 0+000 - км 13+000 (0,9 км) - 7077,3;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- 403,1.                                                                                                                            ^Ремонт автомобильной дороги аал Доможаков-аал Трояков Усть-Абаканского района Республики Хакасия(1,7 км) - 1529,0;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аал Райков-аал Баинов Усть-Абаканского района Республики Хакасия(1,7 км) - 1865,7;                                                                                                                                                                                                                                ^Ремонт автомобильной дороги ул. Интернациональная в границах д№1-д№19 аал Доможаков Усть-Абаканский район Республики Хакасия (0,48 км) - 563,0;                                                                                                                                                                                            ^Ремонт парковочной площадки примыкающей к врачебной амбулатории в с.Московское Усть-Абаканского района Республики Хакасия - 545,4;                </t>
    </r>
  </si>
  <si>
    <r>
      <rPr>
        <b/>
        <sz val="14"/>
        <rFont val="Times New Roman"/>
        <family val="1"/>
        <charset val="204"/>
      </rPr>
      <t>7. Разработка проектно-сметной документации</t>
    </r>
    <r>
      <rPr>
        <sz val="14"/>
        <rFont val="Times New Roman"/>
        <family val="1"/>
        <charset val="204"/>
      </rPr>
      <t xml:space="preserve"> "Ремонт автомобильной дороги с. Солнечное - д. Курганная Усть-Абаканского района Республики Хакасия" - </t>
    </r>
    <r>
      <rPr>
        <b/>
        <sz val="14"/>
        <rFont val="Times New Roman"/>
        <family val="1"/>
        <charset val="204"/>
      </rPr>
      <t>595,8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8.Разработка комплексной схемы организации дорожного движения - 327,0.</t>
    </r>
  </si>
  <si>
    <r>
      <t xml:space="preserve">Совершенствование системы охраны труда.                                                                                                                                     1.Мероприятия в области улучшений условий и охраны труда - 3465,79, из них: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производственного контроля - 1528,5;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^Приобретение специальной одежды - 429,6;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специальной оценки условий труда - 204,0;                                                                                                                                                                    ^Проведение обучения по охране труда - 160,65;                                                                                                                                                                                       ^Проведение медицинских осмотров - 951,3;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- 7,1;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смывающих и обеззараживающих средств (мыло туалетное,крем для рук) - 58,65;                                                                                                                                                                                                                                                                                                                                                                                                                                                             ^Обустройство мест отдыха - 20,0;                                                                                                                                                                                                   ^Приобретение аптечек для оказания первой помощи - 21,4;                                                                                                  ^Приобретение "Системы охраны труда" - 53,0;                                                                                                                    ^Оснащение классов-приобретение стендов - 11,99.                                                                                                         ^Приобретение карт профрисков-4,8.                                                                                                                                                                           ^Приобретение куллера-14,8             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</t>
    </r>
  </si>
  <si>
    <r>
      <t>1.3.Поддержка и развитие систем коммунального комплекса в муниципальных образованиях Республики Хакасия - 14369,2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14081,8 (РХ), 287,4 (МБ):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^Капитальный ремонт систем теплоснабжения Вершино-Биджинского сельсовета - 1265,8;                                                                                                                                                                                                                                                                                                         ^Капитальный ремонт систем теплоснабжения Доможаковского сельсовета - 1075,6;                                                                      ^Капитальный ремонт дымовой трубы котельной Доможаковского сельсовета - 116,9;                                                                                      ^Капитальный ремонт здания котельной Чарковского сельсовета - 997,4;                                                                                                              ^Капитальный ремонт здания котельной Доможаковского сельсовета - 1533,9;                                                                                                           ^Капитальный ремонт здания котельной Солнечного сельсовета - 718,8;                                                                                                  ^Капитальный ремонт здания котельной Вершино-Биджинского сельсовета - 1203,6;                                                                                           ^Капитальный ремонт кровли здания котельной с.Солнечное - 156,7;                                                                                                     ^Капитальный ремонт отмостки здания котельной с.Солнечное - 129,1;                                                                                                        ^Капитальный ремонт коммунальных объектов на территории присутствия МПК «ЖКХ Усть-Абаканского района», приобретение материалов и оборудования - 4794,7;                                                                                                                                        ^Разработка ПСД и проведение государственной экспертизы на предмет проверки достоверности определения сметной стоимости на строительство системы водоснабжения с. Зелёное - 2129,2.                                                                                                                          ^Строительство системы водоснабжения с.Зеленое - 247,4.</t>
    </r>
  </si>
  <si>
    <r>
      <t>Региональный проект Республики Хакасия «Чистая вода» - 70179,2</t>
    </r>
    <r>
      <rPr>
        <sz val="14"/>
        <color theme="1"/>
        <rFont val="Times New Roman"/>
        <family val="1"/>
        <charset val="204"/>
      </rPr>
      <t>, в том числе:</t>
    </r>
    <r>
      <rPr>
        <b/>
        <sz val="14"/>
        <color theme="1"/>
        <rFont val="Times New Roman"/>
        <family val="1"/>
        <charset val="204"/>
      </rPr>
      <t xml:space="preserve"> 1412,1 (МБ), 7735,2 (РХ);61031,9 (ФБ):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1.Строительство, реконструкция объектов муниципальной собственности, в том числе разработка проектно-сметной документации: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^Строительный контроль за строительством системы водоснабжения с.Зеленое - 154,0.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2.Строительство и реконструкция объектов питьевого водоснабжения ( в том числе софинансирование с республиканским бюджетом):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^Строительство системы водоснабжения с. Зеленое  - 68664,6,                                                                                                                       ^Строительный контроль за строительством системы водоснабжения с.Зеленое - 1360,6.</t>
    </r>
  </si>
  <si>
    <r>
      <rPr>
        <b/>
        <sz val="14"/>
        <color theme="1"/>
        <rFont val="Times New Roman"/>
        <family val="1"/>
        <charset val="204"/>
      </rPr>
      <t xml:space="preserve">1.Мероприятия, направленные на стимулирование деловой активности хозяйствующих субъектов, осуществляющих торговую деятельность - 39,7  </t>
    </r>
    <r>
      <rPr>
        <sz val="14"/>
        <color theme="1"/>
        <rFont val="Times New Roman"/>
        <family val="1"/>
        <charset val="204"/>
      </rPr>
      <t xml:space="preserve">Проведение районного конкурса "Лучшее предприятие торговли";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2.Возмещение части затрат хозяйствующим субъектам, осуществляющим торговую деятельность - 57,0. </t>
    </r>
    <r>
      <rPr>
        <sz val="14"/>
        <color theme="1"/>
        <rFont val="Times New Roman"/>
        <family val="1"/>
        <charset val="204"/>
      </rPr>
      <t xml:space="preserve"> Документы на компенсацию затрат от Московского потребительского общества, осуществляющего доставку в 2021 году продуктовых и непродуктовых товаров жителям малых сел, не имеющих стационарных точек торговли.</t>
    </r>
  </si>
  <si>
    <t xml:space="preserve">^Проверка сметной документации на ремонт кабинетов (Расцветская СОШ-6,8, Московская СОШ-12,9, Опытненская СОШ-6,7) - 26,4;                                                                                                                                                                                                                         ^Проведение ГИА - 22,2;                                                                                                                                                                                                             ^Определение категории помещений по взрывопожарной опасности (Опытненская СОШ-6,4, Весенненская СОШ-24,0, Солнечная СОШ-7,0) - 37,4;                                                                                                                                                                                                     ^Испытание пожарных кранов и лестниц,ограждений кровли (Росток-8,0, ОШИ-2,0, Усть-Абаканская СОШ-17,0, Чапаевская СОШ-10,0, В-Биджинская СОШ-3,0, Чарковская СОШ-7,5,Усть-БюрскаяСОШ -2,0) - 49,5;                                                                                                                                                            ^Конкурс "А ну-ка, девушки"- 34,0;                                                                                                                                                       ^Приобретение барабанов для парада на 9 мая - 260,3;                                                                                                                                                                                                                                </t>
  </si>
  <si>
    <t>^Приобрет.спорт.инвентаря (Росток - 30,0,Весенненская СОШ-50,0)-80,0;                                                                                                                                                                                 ^Приобретение стендов (Калининская СОШ-23,7,Доможаковская СОШ-15,0) - 38,7;                                                                                                                   ^Приобретение канц.товаров (У-Бюрская СОШ) - 10,0;                                                                                                                                                       ^Приобретение квадрокопта (Солнечная СОШ) - 9,4;                                                                                                             ^Приобретение линолеума (У-Абаканская СОШ-10,0,Райковская СОШ-149,5) - 159,5;                                                                                                                                         ^Приобретение мяг.инвентаря для новой группы (В-Биджинская СОШ) - 137,1;                                                                                             ^Ремонт фасада (У-Абаканская СОШ 2 кор) - 3254,5;                                                                                                                                                                                                ^Ремонт, дооборуд. видеонаблюдения (В-Биджинская СОШ-400,7,Чарковская СОШИ-59,6,СолнечнаяСОШ-189,4) - 649,7;                                                                                                                                                                                                                                      ^Проект и акт на скважину (Сапоговская СОШ-116,0,Солнечная СОШ-236,1) - 352,1;                                                                                                                          ^Устройство покрытия из брусчатки (Сапоговская СОШ) - 6147,2;                                                                                                                   ^Обучение кочегаров (У-Бюрская СОШ-3,6, Чапаевская СОШ-18,0, Чарковская СОШ-3,6, Сапоговская СОШ-14,4,Московская СОШ-4,8,Доможаковская СОШ-3,6,Весенненская СОШ-3,6) - 51,6;</t>
  </si>
  <si>
    <r>
      <rPr>
        <b/>
        <sz val="14"/>
        <rFont val="Times New Roman"/>
        <family val="1"/>
        <charset val="204"/>
      </rPr>
      <t>Поддержка одаренных детей и молодежи: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- 352,2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Приобретение музыкальных инструментов: гусли, малый барабан - 18,8;                                                                                                                                 2. Народные костюмы для мальчиков и девочек - 141,0;                                                                                                                           3. Туфли народные черные, сапоги народные - 67,9;                                                                                                                                                           4. Костюм, сапоги, платки, комплект к танцу - 124,5.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</si>
  <si>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1537,20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- 243,0</t>
    </r>
    <r>
      <rPr>
        <sz val="14"/>
        <rFont val="Times New Roman"/>
        <family val="1"/>
        <charset val="204"/>
      </rPr>
      <t xml:space="preserve">, из них: Оплата земельного налога и налога на имущество по строительству жилья, предоставляемого по договору найма-52,1;оплата пени по налогу на имущество - 0,9; проект на строительство жилого дома в аале Чарков -190,0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- 1294,2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969,1 (МБ), 3,3 (РХ), 321,8 (ФБ) </t>
    </r>
    <r>
      <rPr>
        <sz val="14"/>
        <rFont val="Times New Roman"/>
        <family val="1"/>
        <charset val="204"/>
      </rPr>
      <t>Получен сертификат на покупку жилья - 1 чел.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</si>
  <si>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- 54269,4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 - 32922,5, услуги связи -67,7, транспортные услуги - 219,9, коммунальные услуги - 9544,0, услуги по сод. имущества - 2126,9, прочие услуги - 642,0, прочие расходы - 6216,6, приобретение основных средств - 271,8, приобретение мат.запасов - 2258,0.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</si>
  <si>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 xml:space="preserve">4. Создание условия для обеспечения современного качества образования - 57425,4,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освещения, электрооборудования: (Московская СОШ,ОШИ,Весенненская СОШ,Опытненская СОШ,Росток,ЧарковскаяСОШИ,Калининская СОШ) - 2030,2;  ^Приобретение насосов:Сапоговская СОШ-227,0;                                                                                                      ^Обучение пож-тех минимум (Усть-Абаканская СОШ) - 3,0;    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 дверей (У-Бюрская СОШ-43,9, Солнечная СОШ-574,8, Красноозерная ООШ-392,1, Расцветская СОШ-500,0, Опытненская СОШ-234,7, Доможаковская СОШ-448,7; У-А СОШ-1746,5) - 4584,6;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кабинетов: (Усть-Абаканская СОШ-90,0 (облуч), У-Бюрская СОШ-84,0 (облуч), В-Биджинская СОШ-644,8, Расцветская СОШ-665,8, Райковская СОШ-313,2, Доможаковская СОШ-108,8, Сапоговская СОШ-174,5, Калининская СОШ-19,8;, Росток-226,6, Солнечная СОШ-265,4, Весенненская СОШ-648,7, ОШИ-91,9, Чарковская СОШИ-264,4Опытненская СОШ-319,3,Московская СОШ-45,7) - 3963,0;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пищеблоков: (Усть-Абаканская СОШ-673,8, Росток-120,0, У-Бюрская СОШ-17,0, ОШИ-97,0, Калининская СОШ-129,0, Райковская СОШ-183,2, Доможаковская СОШ-76,7, В-Биджинская СОШ-72,6(сад),Солнечная СОШ-130,9,Московская СОШ-49,2) - 1549,2;                                                                                                                                                                                  ^Приобретение школьной мебели (ОШИ-125,0, Красноозерная ООШ-158,7, Солнечная СОШ-124,2, Опытненская СОШ-247,6, Московская СОШ-34,0,Доможакоская СОШ-45,3;Усть-БюрскаяСОШ-72,0) - 806,8;                                                                                                                                                                             ^Приобретение макета пнев.оружия (Усть-Абаканская СОШ) - 38,0;                                                                                   ^ Приобретение футболок У-А СОШ-9,1;                                                                                                                                                                                                                                      ^Ремонт кровли: (Сапоговская СОШ-266,0 (козырьки), У-Бюрская СОШ-1059,5, Красноозерная ООШ-2280,5) - 3606,0;                                                                                                                                                                                                   ^Приобретение жалюзи: (Доможаковская СОШ-96,2, Сапоговская СОШ-34,2, Усть-Абаканская СОШ-134,6,Райковская СОШ-25,7,В-Биджинская СОШ-36,3,Расцветская СОШ-56,8,Московская СОШ-78,7) - 462,5;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</si>
  <si>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- 14334,6,</t>
    </r>
    <r>
      <rPr>
        <sz val="14"/>
        <rFont val="Times New Roman"/>
        <family val="1"/>
        <charset val="204"/>
      </rPr>
      <t xml:space="preserve"> из них: оплата труда-13787,5, услуги связи-37,1, коммунальные услуги -191,5, услуги по сод. имущества - 104,1, прочие услуги-99,2, прочие расходы-2,3, приобретение основных средств- 41,4, приобретение мат.запасов-71,5.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 - 15731,9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труда-14942,1, услуги связи-21,6, коммунальные услуги -612,6, услуги по содержанию имущества-41,5, прочие услуги-67,8,  увеличение стоимости основных средств-41,8, прочие расходы-3,7,увеличение стоимости материальных запасов  -0,8.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 - 27169,8,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труда-25041,5, услуги связи-28,5, коммунальные услуги-715,7, услуги по содержанию имущества-490,8, прочие услуги-119,6, прочие расходы-143,9, увеличение стоимости основных средств-61,2, увеличение стоимости материальных запасов-568,6.              </t>
    </r>
  </si>
  <si>
    <t xml:space="preserve">Мероприятия, направленные на патриотическое воспитание граждан - 229,3, из них:                                                                                                                                                              1."Юный зарничник" - 6,0;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- 3,0;                                                                                                                                                                3. "А, ну-ка, девушки" - 2,0;                                                                                                                                                                                        4. Военно-полевые сборы - 34,0;                                                                                                                                                                                 5. Районный фестваль-конкурс Военно-патриотической песни «Она звучит не умирая» (оформление, награждение) - 20,0;                                                                                                                                                                                                                                                  6. "И помнит мир спасенный" - 5,0;                                                                                                                                                                                           7. "Георгиевская ленточка" - 6,0;                                                                                                                                                                                  8. "Я люблю тебя, Россия!" - 1,0;                                                                                                                                                                                      9. Районная дистанционная образовательная олимпиада "Герои ВОВ" - 2,0;                                                                                                                                                   10. "Юные таланты Отчизны" - 1,0;                                                                                                                                                                                                                                           11. Награждения на мероприятиях патриотической направленности - 16,0;                                                                                                                                                                                          12. "Зарница" - 1,0;                                                                                                                                                                                                                 13. "Туриада-2022" - 4,0;                                                                                                                                                                                                       14. Соревнования по картингу - 4,0;                                                                                                                                                                          15. Открытый районный турнир по скоростной сборке радиоаппаратуры - 1,0;                                                                                                            16. Палаточный лагерь "Вершина" - 15,0;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 Районная спартакиада молодежи допризывного возраста - 19,3;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</si>
  <si>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18. Юнармейский форум-3,0т.руб;                                                                                                                                                                                           19. Региональный турнир по боксу «Динамо» детям России, посвященный памяти сотрудников правоохранительных органов, погибших при исполнении служебных обязанностей (баннеры)-25,0т.руб;                                                                                        20. Первенство Усть-Абаканского района по рукопашному бою (баннер, медали, кубки) - 15,0т.руб;                                                  21. Проведение передвижной фотовыставки, организованное НКО "Боевое братство" - 8,0т.руб;                                                        22. Районная спартакиада молодежи допризыв. возраста (питание, призы) - 38,0.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</si>
  <si>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- 20828,0,</t>
    </r>
    <r>
      <rPr>
        <sz val="14"/>
        <rFont val="Times New Roman"/>
        <family val="1"/>
        <charset val="204"/>
      </rPr>
      <t xml:space="preserve"> в том числе: 1. Заработная плата (ст.211) — 13 457,4; 2. Начисления на выплаты по оплате труда (ст.213) — 3 990,7; 3. Услуги связи (ст.221) — 98,7; 4.Коммунальные услуги (ст.223) — 1621,91; 5. Работы, услуги по содержанию имущества (ст.225) —361,07; 6. Прочие работы, услуги (ст.226) — 417,02; 7. Увеличение стоимости основных средств (ст.310) — 100,5; 8. Увеличение стоимости ГСМ (ст.343) — 272,29; 9.Увеличение стоимости строит. материалов (ст.344) — 30,8; 10. Увеличение стоимости прочих оборотных запасов( ст.346) — 123,00 (канц. и хоз.товары); 11.Прочие расходы (ст.290)-323,80; 12. Страхование (ст.227) — 29,97; остаток на счете-0,84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</si>
  <si>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 Мероприятия по поддержке и развитию культуры, искусства и архивного дела - 2781,2,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художественного чтения и творчества поэтов любителей «Несу Родину в душе» - 18,0 (оформление, призы); 2. Ремонт кабинета ДК Гагарина - 559,2; 3.Концертная программа, посвященная международному женскому дню 8 марта 2022 г. - 15,4 (цветы): 4. Праздник «Масленница Великая» - 15,0 (оформление, награждение); 5. Игровая программа, посвященная 23 февраля - 7,5 (сладкие подарки); 6. Концертная программа «Женское счастье» - 10,0 (оформление); 7. День работника ЖКХ - 26,4 (оформление, награждение); 8. День работника культуры - 15,0 (оформление, награждение); 9. Районный конкурс к международному женскому дню «Маленькая мисс 2022» - 12,0 (оформление, призы, сувениры); 10. Орг.взнос за участие в фестивале «Созвездие улыбок» - 7,4; 11. Онлайн-проект «Звездные семьи Усть-Абаканского района» - 1,0 (конфеты); 12. Участие в семинаре работников культуры — 11,2; 13. Участие в Международном фестивале-конкурсе «алтайская легенда» Образцовой хореографической студии «Радуга» - 24,4 (орг.взнос, проживание, сточные, проезд); 14. Районный конкурс «Здоровым быть модно» - 8,3 (свечи,  ткань, кубки); 15. Акция по пропаганде ЗОЖ «День здоровья» - 10,3 (бумага, краски); 16. Тематическая выставка «Нам жить и помнить» - 5,7 (фотобумага, рамки, кубки); 17. Акция открытый микрофон — 14,3 (баннеры, краска, фотобумага); 18. Мероприятия, посвященные 77-й годовщине ВОВ — 271,2 (баннеры, призы, сувениры, оформление трибуны, замена покрытия сцены); </t>
    </r>
  </si>
  <si>
    <t>35. Выездные мероприятия День сел — 132,1 (оформление, подарки); 36. Празднование Дня Лошади — 13,3 (баннеры); 37. Открытие ФАПа  аал. Чарки— 10,4 (подарки); 38. Мероприятие, посвященное 15-ти летию МАУК Салбык — 15,7 (оформление); 39 День народного единства -26,1;  40. Изготовление штор «Японские панели»-186,8 (РДК); 41. Текущий ремонт-225,0 (РДК); 42. Юбилей Ветеранского движения — 18,9, 44. Обучение -3,80 (РДК), 43. День учителя-126,1 (призы, оформление, концерт Заволокины); 44. День работников автотранспорта-13,0 (ДК Гагарина); 46. Концертная программа - 1,1 (ДК Гагарина); 47. Игровой переполох-3,0 (ДГ Гагарина); 48. Юбилей школы  (юб. концерт вокальной студии «Провинция РХ»)-107,2 (ДК Гагарина); 49. Новогодние мероприятия-42,9 (ДК Гагарина), 50. Переоборудование сцены ДК Гагарино-110,0; 51.Дооборудование системы видеонаблюдения ДК Дружба — 61,3; 52. Разработка ПСД на благоустройство- ДК Дружба—160,0; остаток на счете - 17,6</t>
  </si>
  <si>
    <t>30.Оформление фотовыставок, посвященных юбилею Пожарной охраны — 10,4 (баннер, фотобумага, краска для принтера, ткань); 30. Проведение мероприятий, посвященных победе в ВОВ — 396,7; 31. Подключение «Вечного огня» для проведения праздничных мероприятий — 5,1 (газ сжиженный); 32. Приобретение одноразовой посуды для проведения акции «Полевая кухня» - 6,6 (тарелки, ложки, стаканы); 33. Приобретение подаркам ветеранам и труженикам тыла-7,6 (пакеты, наклейки); 34. Районный конкурс среди детей и подростков «Наша Победа» - 4,4 (ежедневники, фотобумага); 35. Квест «Наша Победа» - 7,4 (кубки, торт, фотобумага); 36. Установка ограждения — 933,7; 37.Приобретение стеллажа — 7,0 (награждение); 38. Конкурс выставка рисунков «Моя бабушка и дедушка» - 6,0 (награждение); 39. Квест История моего поселка — 9,6 (награждение); 40. Митинг, посвященный Дню окончания Второй мировой войны — 7,3 (цветы, ленты); 41. Акция «День флага» - 5,6 (оформление); 42. Мастер классы «Рисуем на камнях» - 6,3 (расходные материалы); 43. Установка видеонаблюдения — 827,0; 44. Фестиваль выпускников под Алым Парусом Хакасии — 30,0 (награждение); 44. День морского флота  - 22,1 (награждение); 45. Проведение мероприятий с детьми в каникулярный период — 7,1 (расходные материалы); 46. Ярмарка Дружный бизнес Хакасии проведение мастер класса роспись на камнях — 4,0 (маркеры); 47. Мастер класс «Чудесная открытка» к дню семьи, любви и верности — 1,6 (расходный материал); 48 Квест «Заполярье» - 7,0 (подарки); 49. Квест Дети Победы — 11,0 (торт, наушники). 50. Изготовление таблички-24,1; 51. Мастер-класс-3,2; 52. Квест-4,9; 53. Митинг-3,0; 54. Ремонт трубопровода-115,0; 55. Установка узла теплового учета-321,6; 56. Проект узла теплового учета-25,0; 57. Туалет-888,9; 58. День героев отечества-4,0; 59. Изготовление крыльца д/маломобильных групп-543,00; 60. Новогодние мероприятия-48,00; 61. Разработка ПСД на благоустройство территории-80,5;  Остаток на счете-7,5</t>
  </si>
  <si>
    <r>
      <t>1.Проведение спортивных мероприятий, обеспечение подготовки команд -125,2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1. Первенство СФО по боксу среди юниорок (17-18 лет) и девочек(13-14 лет) г.Кемерово - 11,6(проезд, суточные);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2. Участие в VI турнире по мини-хоккею с мячом «Ледова дружина» среди детей 2012 г.р. и младше г.Красноярск - 4,6;                                                                                                                                                                                                                                                                3. Первенство и СФО по спортивному ориентированию - 15,6;                                                                                                                                                       4. Первенство России по рукопашному бою среди юниоров г.Орел - 11,5;                                                                                                                           5. Участие в турнире «Лига Сибири» по баскетболу г.Зеленогорск - 5,9;                                                                                                                              6. Участие в первенстве СФО по спортивной волной борьбе г.Тулун - 8,4;                                                                                                7. Участие в открытом международном турнире по боксу «Слюдянский ринг» Иркутской области - 14,6;                                                                           8. Участие в блиц-турнире по хоккею с мячом, посвященному закрытию зимнего сезона в г.Кемерово - 11,5;                                                                                                                                                                                                                                           9. Участие в республиканских соревнованиях по футболу «Кубок Победы» в рамках празднования 77-й годовщины Победы в ВОВ в п.Шира - 3,5;                                                                                                                                                                                                  10. Блиц турнир по хоккею с мячом среди мальчиков 2012 г.р., посвященный закрытию зимнего сезона - 9,5.                             11.Мини-футбол-7,9;                                                                                                                                                                                                     12.Участие СФО по рукопашному бою-12,7;                                                                                                                                                            13.Остаток на счете-7,9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</si>
  <si>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3. Организация, координация туристической деятельности и продвижения туристического продукта - 64,5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1. «День открытых дверей» в рамках празднования всемирного дня музеев в МАУК «музей «Салбык»-29,0 (Услуги шамана-13,2, проведение обряда кормления огня-2,5, дегустация напитка «Хан-чай»-2,8, мастер-класс изготовления талгана - 9,8, средства гигиены - 0,7). 2".Всемирный день туризма"-29,1(Услуги шамана-13,2;мастер-класс,дегустация напитка,проведение обряда-15,2; средства гигиены-0,7). 3.Изготовление полиграфической продукции(буклеты)-6,4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</si>
  <si>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1.1. Капитальный ремонт в муниципальных учреждениях, в том числе проектно-сметная документация 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            ^Капитальный ремонт ограждения санитарной зоны водозабора с.В-Биджа - 599,5;                                                                             ^Капитальный ремонт сетей теплоснабжения и водопровода по адресу аал.Доможаков от ДК в сторону детского сада протяженностью 310 метров-4066,9;                                                                                                                                                                                                ^Замена  узлов учета поднятой воды на водозаборах и скважинах, входящих в состав имущества МКП «ЖКХ Усть-Абаканского района» - 981,0.                                                                                                                                                                    ^Установка систем видеонаблюдения на котельных, входящих в состав имущества МПК «ЖКХ Усть-Абаканского района» -188,5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1.2. Субсидии муниципальным казенным предприятиям на финансовое обеспечение затрат, связанных с погашением кредиторской задолженности: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^Погашение кредиторской задолженности МКП «ЖКХ Усть-Абаканского района» - 800,0; </t>
    </r>
  </si>
  <si>
    <r>
      <rPr>
        <b/>
        <sz val="14"/>
        <rFont val="Times New Roman"/>
        <family val="1"/>
        <charset val="204"/>
      </rPr>
      <t>3.Мероприятия по развитию дошкольного образования - 12348,6,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^Замена, установка пожарных лестниц (д/с Звездочка-10,0, д/с Ромашка-1194,5) - 1204,5;                                                                  ^Приобретение мебели в группу (д/с Звездочка-8,2, д/с Ласточка-108,8, д/с Солнышко-260,0, д/с Родничок-80,1) - 457,1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(д/с Родничок-63,2, д/с Ромашка-112,2, д/с Звездочка-43,5, д/с Аленушка-33,0, д/с Рябинушка-105,6; д/с Радуга-226,1) - 583,6;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Ромашка-38,0, д/с Калинка-348,7,д/с Рябинушка-44,0) - 430,7;                                                                                                                                                        ^Приобретение орг.техники: (д/с Ромашка-109,9, д/с Звездочка-115,6, д/с Родничок-110,0, д/с Калинка-40,0, д/с Рябинушка-110,0, д/с Аленушка-110,0, д/с Ласточка-110,0, д/с Радуга-110,0, д/с Солнышко-110,0) - 925,5;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огнетушителей, против. знаков, ГДЗК: (д/с Звездочка) - 1,5;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Ромашка-7,2, д/с Рябинушка-7,0, д/с Радуга-8,0,д/сЛасточка-3,0,д/с Калинка-1,8) - 27,0;                                                                                                                                                                                                                                                                  ^Проверка качества огнезащитной обработки дерев. конструкций (д/с Рябинушка-6,0, д/с Радуга-9,6) - 15,6;                                                                                                                                                                                                            ^Ремонт отопления (д/с Аленушка - 162,4,д/с Звездочка-591,2)-753,6;                                                                                                 ^Ремонт канализации,ХВС (д/с Родничок - 472,2,д/с Солнышко-358,1)-830,3;                                                                                                                                                   ^Установка, дооборуд. АУПС (д/с Радуга-46,6; д/с Ласточка-1013,6; д/с Солнышко-71,1) - 1131,3;                                                                                                                      ^Ремонт освещения, электрооборудования (д/с Радуга-63,8, д/с Звездочка-32,5,д/с Солнышко-86,0) - 182,3;                                                                                                    ^ПСД на АУПС: (д/с Звездочка) - 29,3;                                                                                                                                                                 ^Монтаж АУПС: (д/с Звездочка) - 281,4;                                                                                                                                          </t>
    </r>
  </si>
  <si>
    <t xml:space="preserve">^Локально-вычислительная сеть (Красноозерная ООШ-115,6, В-Биджинская СОШ-149,8) - 265,4;                                                                                                                                                                                  ^Ремонт ограждения: (Сапоговская СОШ) - 586,3;                                                                                                                                           ^Установка противопожарных дверей, люков: (Опытненская СОШ-106,0, Сапоговская СОШ-134,0, Расцветская СОШ-128,0, Московская СОШ-30,0, Весенненская СОШ-67,0, Солнечная СОШ-77,5,У-А СОШ-105,0) - 647,5;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столовую: (Калининская СОШ-50,5, Опытненская СОШ-70,0; Красноозерная ООШ-29,9) - 150,4;                                                                                                                                                                                                                               ^Огнезащитная обработка: (Опытненская СОШ-23,3, Весенненская СОШ-42,9, Райковская СОШ-7,0, Чапаевская СОШ-38,5, У-А-29,4, Калининская СОШ-21,6,Росток-140,0) - 302,7;                                                                                                                                                                                     ^Проверка качества огнезащитной обработки (Усть-Абаканская СОШ-32,0, Опытненская СОШ-4,0, ОШИ-4,0, В-Биджинская СОШ-7,0, Солнечная СОШ-12,0, Калининская СОШ-7,0, Чарковская СОШ-10,0, Сапоговская СОШ-4,0,Усть-Бюрская СОШ-6,0) - 86,0;                                                                                                                                                                                                               ^Приобретение огнетушителей и против.знаков, ГДЗК, пож.рукавов (Райковская СОШ-1,7, Усть-Абаканская СОШ-19,0, У-Бюрская СОШ-6,3, Весенненская СОШ-5,7, Калининская СОШ-2,2, ОШИ-0,9,Доможаковская СОШ-1,8) - 37,6;                                                                                                                                                                   ^Приобретение клас.досок: (Калининская СОШ-51,5, Доможаковская СОШ-34,0,Райковская СОШ-18,2) - 103,7;                                                ^Приобретение орг.техники: (Калининская СОШ-168,6, ОШИ-106,2, Сапоговская СОШ-330,0, В-Биджинская СОШ-220,0, Московская СОШ-220,0, Доможаковская СОШ-268,4, Солнечная СОШ-220,0, Росток-360,0, Райковская СОШ-313,3, Опытненская СОШ-335, Расцветская СОШ-110,0, Чарковская СОШИ-230,0, Усть-Абаканская СОШ-626,4, Весенненская СОШ-220,0, У-Бюрская СОШ-200,0, Красноозерная ООШ-504,3, Чапаевская СОШ-110,0) - 4542,2,                                                                                                                                                              ^Монтаж пожарных лестниц: (Сапоговская СОШ)-527,1.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</si>
  <si>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^Приобретение мебели в группу д/с: (Усть-Бюрская СОШ-17,0, Сапоговская СОШ-40,0, Солнечная СОШ-50,0, В-Биджинская СОШ-591,2,Чарковская СОШ-34,9) - 733,1;                                                                                                                                                                                                              ^Приобретение стир.машины в сад (Райковская СОШ) - 46,2;                                                                                                                               ^Аккуст.в акт.зал (У-Абаканская СОШ) -151,0;                                                                                                                                                                                                                                       ^Ремонт помещений (Солнечная СОШ-542,1, В-Биджинская СОШ-5040,9, Расцветская СОШ-560,4(мед.каб), Красноозерная ООШ-248,7 (прачка), Калининская СОШ-583,3 (пищ.блок), Чарковская СОШИ-1024,3 (пищ.блок), ОШИ-411,0, Росток-591,5 (пищеблок), У-Абаканская СОШ-2422,6, Московская СОШ-1327,2 (пищ.блок), Опытненская СОШ-418,5, Весенненская СОШ-764,5) - 13935,0;                                                                                                                                              ^Ремонт отопления (Усть-Абаканская СОШ-336,5,В-Биджинская СОШ-81,7) - 418,2;                                                                                                                                       ^Ремонт котельной (Сапоговская СОШ - 145,4,Чарковская СОШИ-52,0(труба),Чапаевская СОШ-533,7)-731,1;                                                                                                                        ^Ремонт вентиляции (Росток) - 203,5;                                                                                                                                                        ^Оценка технического состояния здания (Красноозерная ООШ) - 199,0;                                                                                                   ^ПСД на АУПС (Весенненская СОШ-45,8, Сапоговская СОШ-129,6, Московская СОШ-135,9,Опытненская СОШ-75,3) - 386,6;                                                                                                                                                                                                                                  ^Монтаж, дооборуд. АУПС (Сапоговская СОШ-1362,1, У-Бюрская СОШ-54,9, Весенненская СОШ-138,2,Росток-94,9,Расцветская СОШ-11,4) - 1661,5;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холодного водоснабжения, канализации (Чапаевская СОШ-242,4, Сапоговская СОШ-1024,8, У-А СОШ-255,4, В-Биджинская СОШ-28,1, Солнечная СОШ-142,0,Доможаковская СОШ-48,9,Калининская СОШ-208,3,Расцветская СОШ-481,0) - 2430,9;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</si>
  <si>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3.Капитальный ремонт в муниципальных учреждениях, в том числе проектно-сметная документация - 2364,7,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1. Разработка ПСД на капитальный ремонт Автоматической установки пожарной сигнализации и системы оповещения - 46,2;                                                                                                                                                                                                                             2. Капитальный ремонт отопления фойе - 215,4;                                                                                                                                                 3. Капитальный ремонт пожарного водопровода - 212,9;                                                                                                                                           4. Проверка сметной документации на кап. ремонт здания РДК "Дружба" - 99,5;                                                                                                                                     5. Капитальный ремонт стен, полов и потолков МБУ РДК «Дружба» - 1701,3.                                                                                                                       6. Кап. Ремонт авт.пож.сигн.-89,4.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</si>
  <si>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4.Укрепление материально-технической базы -1410,2,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1. Карта памяти, видеокамера, штатив, планшет -244,1;                                                                                                                                                       2. Диваны, стулья, табуреты, столы, зеркала - 213,6;                                                                                                                                                             3. Приобретение компьютера в сборе, МФУ - 147,4;                                                                                                                                   4. Стеллажи, комп.техника (РДК) - 435,3;                                                                                                                                                                                  5. Квадрокоптер - 310,0.                                                                                                                                                                                                                                         6. Приобретение кресло, вешало — 59,8</t>
    </r>
  </si>
  <si>
    <r>
      <rPr>
        <b/>
        <sz val="14"/>
        <rFont val="Times New Roman"/>
        <family val="1"/>
        <charset val="204"/>
      </rPr>
      <t xml:space="preserve">4.Региональный проект Республики Хакасия "Спорт-норма жизни":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зала-116354,6;                                                                                                                                                         2.Строительный контроль -213,1.                                              </t>
    </r>
  </si>
  <si>
    <r>
      <rPr>
        <b/>
        <sz val="14"/>
        <rFont val="Times New Roman"/>
        <family val="1"/>
        <charset val="204"/>
      </rPr>
      <t xml:space="preserve">2. Содействие формирования туристической инфраструктуры и материально-технической базы - </t>
    </r>
    <r>
      <rPr>
        <sz val="14"/>
        <rFont val="Times New Roman"/>
        <family val="1"/>
        <charset val="204"/>
      </rPr>
      <t>3026,9,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1.Строительство,реконструкция объектов муниципальной собственности, в том числе разработка проектно-сметной документации</t>
    </r>
    <r>
      <rPr>
        <sz val="14"/>
        <rFont val="Times New Roman"/>
        <family val="1"/>
        <charset val="204"/>
      </rPr>
      <t xml:space="preserve">  -</t>
    </r>
    <r>
      <rPr>
        <b/>
        <sz val="14"/>
        <rFont val="Times New Roman"/>
        <family val="1"/>
        <charset val="204"/>
      </rPr>
      <t xml:space="preserve">1786,0 </t>
    </r>
    <r>
      <rPr>
        <sz val="14"/>
        <rFont val="Times New Roman"/>
        <family val="1"/>
        <charset val="204"/>
      </rPr>
      <t>(Строительство ЛЭП,подключение,тех.присоединение к электросетям МАУК "Музей"Салбык")</t>
    </r>
    <r>
      <rPr>
        <b/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                                                         2.Мероприятия в области туризма-12,5 </t>
    </r>
    <r>
      <rPr>
        <sz val="14"/>
        <rFont val="Times New Roman"/>
        <family val="1"/>
        <charset val="204"/>
      </rPr>
      <t>(Приобретение хакасского национального костюма "Сигидек")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 Обеспечение безопасности музейного фонда и развитие музеев - 80,0 (</t>
    </r>
    <r>
      <rPr>
        <sz val="14"/>
        <rFont val="Times New Roman"/>
        <family val="1"/>
        <charset val="204"/>
      </rPr>
      <t>приобретение генератора-51,7,археологическая песочница-28,3)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4. Укрепление материально-технической базы </t>
    </r>
    <r>
      <rPr>
        <sz val="14"/>
        <rFont val="Times New Roman"/>
        <family val="1"/>
        <charset val="204"/>
      </rPr>
      <t xml:space="preserve">(Стол и лавка из массива дерева) </t>
    </r>
    <r>
      <rPr>
        <b/>
        <sz val="14"/>
        <rFont val="Times New Roman"/>
        <family val="1"/>
        <charset val="204"/>
      </rPr>
      <t>- 128,0;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5. Укрепление материально-технической базы муниципальных учреждений в сфере культуры - 20,4 (МБ); 1000,00 (РХ), </t>
    </r>
    <r>
      <rPr>
        <sz val="14"/>
        <rFont val="Times New Roman"/>
        <family val="1"/>
        <charset val="204"/>
      </rPr>
      <t xml:space="preserve">их них: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Беседка деревянная с крышей - 600,0;                                                                                                                                                                                    2. Интерактивный стол LigaSmart IT 55(ОПТИМА) - 420,4.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</si>
  <si>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искуственных сооружений (в том числе на разработку проектной документации) - 18212,3 (РХ), </t>
    </r>
    <r>
      <rPr>
        <sz val="14"/>
        <rFont val="Times New Roman"/>
        <family val="1"/>
        <charset val="204"/>
      </rPr>
      <t>из них: Субсидии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(0,6 км) Усть-Абаканского района Республики Хакасия - 4843,8;                                                                                                                                                      ^Ремонт автомобильной дороги ул. Павлика Морозова  аал Мохов (0,503 км) - 835,2;                                                                                                                       ^Ремонт автомобильной дороги ул. Школьная аал Мохов (0,7 км)- 1162,3;                                                                                                               ^Ремонт автомобильной дороги ул. Курченко аал Мохов (0,497км) - 825,2;                                                                                                             ^Ремонт автомобильной дороги ул. Подгорная с. Московское (0,65км) - 1055,4;                                                                                               ^Ремонт автомобильной дороги аал Чарков - аал Уйбат (1,7 км) - 4311,3;                                                                                                               ^Ремонт автомобильной дороги с. Усть-Бюр - хутор Верхний Тибик (0,28 км) - 1721,7;                                                                                                     ^Ремонт автомобильной дороги ул. Станционная с. Усть-Бюр (0,8 км) - 2877,1;                                                                                                                                                       ^Ремонт автомобильной дороги ул. Садовая аал Мохов Усть-Абаканского района Республики Хакасия(0,35км) -580,3.</t>
    </r>
  </si>
  <si>
    <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- 372,2, </t>
    </r>
    <r>
      <rPr>
        <sz val="14"/>
        <rFont val="Times New Roman"/>
        <family val="1"/>
        <charset val="204"/>
      </rPr>
      <t xml:space="preserve">из них: Софинансирование из бюджета МО Усть-Абаканский район субсидий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- 98,9;                                                                                                                                                ^Ремонт автомобильной дороги ул. Павлика Морозова  аал Мохов - 17,1;                                                                                                              ^Ремонт автомобильной дороги ул. Школьная аал Мохов - 23,8;                                                                                                                           ^Ремонт автомобильной дороги ул. Курченко аал Мохов - 17,0;                                                                                                                            ^Ремонт автомобильной дороги ул. Подгорная с. Московское - 21,6;                                                                                                                       ^Ремонт автомобильной дороги аал Чарков - аал Уйбат - 88,0;                                                                                                                                ^Ремонт автомобильной дороги с. Усть-Бюр - хутор Верхний Тибик - 35,2;                                                                                              ^Ремонт автомобильной дороги ул. Станционная с. Усть-Бюр - 58,8;                                                                                                                                                                                 ^Ремонт автомобильной дороги ул. Садовая аал.Мохов Усть-Абаканского района Республики Хакасия-11,8.  </t>
    </r>
  </si>
  <si>
    <r>
      <t xml:space="preserve">Выполнено с начала года % </t>
    </r>
    <r>
      <rPr>
        <b/>
        <sz val="10"/>
        <rFont val="Times New Roman"/>
        <family val="1"/>
        <charset val="204"/>
      </rPr>
      <t>(гр.10/гр.6х100)</t>
    </r>
  </si>
  <si>
    <r>
      <rPr>
        <b/>
        <sz val="14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</si>
  <si>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</t>
  </si>
  <si>
    <t xml:space="preserve">Первый заместитель Главы администрации </t>
  </si>
  <si>
    <t>Выдано  и реализовано 2 Свидетельства о праве на получение социальной выплаты на приобретение жилого помещения или создание объекта индивидуального строительства, на сумму 1 869 411,60 и  871 778,21 рублей двум молодым семьям  на цели предусмотренные подпунктом «е» пункта 2 Правил предоставления молодым семьям социальных выплат на приобретение (строительство) жилья и их использования, утвержденные Постановлением Правительства РФ от 17.12.2010 № 1050</t>
  </si>
  <si>
    <r>
      <rPr>
        <b/>
        <i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- 851,2</t>
    </r>
    <r>
      <rPr>
        <sz val="14"/>
        <rFont val="Times New Roman"/>
        <family val="1"/>
        <charset val="204"/>
      </rPr>
      <t xml:space="preserve">, в том числе: </t>
    </r>
    <r>
      <rPr>
        <b/>
        <i/>
        <sz val="14"/>
        <rFont val="Times New Roman"/>
        <family val="1"/>
        <charset val="204"/>
      </rPr>
      <t xml:space="preserve">721,0(МБ), 1,3(РХ), 128,9(ФБ)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^Получен сертификат на покупку жилья (Бахарева П.С.) кредиторка 2022г-35,7;                                                                                                                                                              ^Получен сертификат на покупку жилья (Ковальчук Я.А.)- 815,5.</t>
    </r>
  </si>
  <si>
    <r>
      <rPr>
        <b/>
        <sz val="14"/>
        <rFont val="Times New Roman"/>
        <family val="1"/>
        <charset val="204"/>
      </rPr>
      <t xml:space="preserve">Поддержка одаренных детей и молодежи: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- 342,5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Баяны-342,5.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</si>
  <si>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t>2.  Экспертиза сметной стоимости (субсидия РБ) - 23,4.</t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</si>
  <si>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- 49,2,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      ^Поощрения(грамоты,призы)-49,2.                                                                                                                                                                               </t>
    </r>
  </si>
  <si>
    <r>
      <t xml:space="preserve">6.Государственная поддержка отрасли культуры за счет средств резервного фонда Правительства РФ- 152,7 </t>
    </r>
    <r>
      <rPr>
        <sz val="14"/>
        <rFont val="Times New Roman"/>
        <family val="1"/>
        <charset val="204"/>
      </rPr>
      <t>из                                                        них:</t>
    </r>
    <r>
      <rPr>
        <b/>
        <i/>
        <sz val="14"/>
        <rFont val="Times New Roman"/>
        <family val="1"/>
        <charset val="204"/>
      </rPr>
      <t xml:space="preserve"> 3,1 (МБ), 15,0 (РХ), 134,6 (ФБ)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Комплектование книжных фондов.</t>
    </r>
  </si>
  <si>
    <r>
      <t xml:space="preserve">2.Реализация мероприятий по развитию общеобразовательных организаций (за счет средств целевой безвозмездной помощи)-1000,0 (РХ):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^Приобретение уч.мебели Доможаковская СОШ-254,75;                                                                                                                                      ^Ремонт каб. Доможаковская СОШ-745,25.</t>
    </r>
  </si>
  <si>
    <t xml:space="preserve"> о реализации муниципальных программ, действующих на территории Усть-Абаканского района Республики Хакасия за 2023 год.</t>
  </si>
  <si>
    <r>
      <rPr>
        <b/>
        <i/>
        <sz val="14"/>
        <rFont val="Times New Roman"/>
        <family val="1"/>
        <charset val="204"/>
      </rPr>
      <t>Мероприятия по профилактике злоупотребления наркотиками и их незаконного оборота - 20,7,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^Мероприятия по профилактике асоциального поведения несовершеннолетних - 4,0 (грамоты,призы,ГСМ);                                                                                                                                                                                  ^Антинаркотическая акция "Родительский урок" - 2,0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выпусков информационно-наглядных материалов по профилактике правонарушений среди молодежи и несовершеннолетних - 1,7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тест системы для экспресс диагностики наркотиков - 7,0 (Полоски "ИХА-5-Мульти-Фактор")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«Жизнь без наркотиков» - 3,0 (канцелярия);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«Здоровая Россия-общее дело»-3,0 (печать буклетов).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</si>
  <si>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4.Иные межбюджетные трансферты на мероприятия по защите населения от чрезвычайных ситуаций, пожарной безопасности и безопасности на водных объектах - 195,9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Профинансировано получение сельсоветами трансферта на обеспечение первичных мер пожарной безопасности:                       Московский сельсовет -11,9; Чарковский сельсовет -15,0; Опытненский сельсовет - 14,0; Доможаковский сельсовет-29,0; Весенненский сельсовет-13,0; Райковский сельсовет-26,0;  Сапоговский сельсовет-24,0; Усть-Бюрский сельсовет-20,0;  Вершино-Биджинский сельсовет-18,0; Расцветовский сельсовет-25,0.    </t>
    </r>
  </si>
  <si>
    <r>
      <t xml:space="preserve">Укрепление безопасности и общественного порядка в Усть-Абаканском районе -11,8, </t>
    </r>
    <r>
      <rPr>
        <sz val="14"/>
        <rFont val="Times New Roman"/>
        <family val="1"/>
        <charset val="204"/>
      </rPr>
      <t>из них:                                                                                         ^Поощрение членов общественных организаций правоохранительной направленности - 10,0;                                                                                                                  ^Оплата госпошлины для получения паспорта для лиц, находящихся в тяжелой жизненной ситуации - 1,8.</t>
    </r>
  </si>
  <si>
    <r>
      <rPr>
        <b/>
        <sz val="14"/>
        <rFont val="Times New Roman"/>
        <family val="1"/>
        <charset val="204"/>
      </rPr>
      <t>Мероприятия по профилактике терроризма и экстремизма - 2,6,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Изготовление  памяток с тематикой  по профилактике террористической и экстремистской деятельности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</si>
  <si>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профилактике безнадзорности и правонарушений несовершеннолетних - 60,3</t>
    </r>
    <r>
      <rPr>
        <sz val="14"/>
        <rFont val="Times New Roman"/>
        <family val="1"/>
        <charset val="204"/>
      </rPr>
      <t xml:space="preserve">, из них:                                        ^Приобретение канцелярии - 10,3;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(УКМПСТ)-20,0;                                                                                                    ^Трудоустройство в летний и осенний периоды н/летних, состоящих на проф.учете в КДН и ЗП - 30,0.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</si>
  <si>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- 141,5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участков-141,5.</t>
    </r>
  </si>
  <si>
    <r>
      <rPr>
        <b/>
        <sz val="14"/>
        <rFont val="Times New Roman"/>
        <family val="1"/>
        <charset val="204"/>
      </rPr>
      <t>3.Мероприятия в сфере развития земельно-имущественных отношений - 595,0</t>
    </r>
    <r>
      <rPr>
        <sz val="14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- 545,0;                                                                 ^Приобретение земельного участка в муниципальную собственность -50,0.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</si>
  <si>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 xml:space="preserve">4.Мероприятия по подготовке градостроительной документации - 1761,89, в том числе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^Научно-исследовательские работы по разработке СТП Усть-Абаканского района РХ-1761,89.   </t>
    </r>
  </si>
  <si>
    <r>
      <t>6.Обеспечение обслуживания, содержания и распоряжения муниципальной собственностью - 287,9</t>
    </r>
    <r>
      <rPr>
        <sz val="14"/>
        <rFont val="Times New Roman"/>
        <family val="1"/>
        <charset val="204"/>
      </rPr>
      <t>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- 264,1;                                                                                                                                                                    ^Транспортный налог на муниципальное имущество - 23,8.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</si>
  <si>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1.Обеспечение деятельности УИО - 22786,95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1.Заработная плата - 12780,61;                                                                                                                                                                       2.Начисления на выплаты по оплате труда - 3958,34;                                                                                                                                                                3.Услуги связи -234,22;                                                                                                                                                                                              4.Работы, услуги по содержанию имущества -467,32 ;                                                                                                                                                                                5.Прочие работы, услуги -648,72 ;                                                                                                                                                                                               6.Приобретение основных средств - 951,4;                                                                                                                                            7.Приобретение ГСМ - 279,52;                                                                                                                                                                         8.Приобретение материальных запасов -343,37 ;                                                                                                                                             9.Страхование ОСАГО- 22,61;                                                                                                                                                                     10.Коммунальные расходы- 460,92;                                                                                                                                                                                      11.Командировочные расходы - 186,03;                                                                                                                                                                               12.Налоги-40,82;                                                                                                                                                                                                                                                                             13.Капитальный ремонт - 1852,62;                                                                                                                                                                                                                                                                                                                          14.Медосмотр - 560,45.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</si>
  <si>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>5.Подготовка документов территориального планирования и правил землепользования и застройки - 1644,76, из них 1597,4 (РХ), 47,36 (МБ)  в том числе: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Работы по разработке проек.внесения изменений в документы территориального планирования и градостроительного зонирования Солнечного с/с-700,0;                                                                                                                                                                                                                               ^Научно-исследовательские работы по разработке СТП Усть-Абаканского района РХ-14,76                                                                            ^Работы по описанию местоположен.границ территориальных зон Доможаковскогос/с Усть-Абаканского района-300,00                                                                                                                                                                                                                                           ^Работы по описанию местоположен.границ территориальных зон Сапоговского с/с Усть-Абаканского района-150,0                                        ^Работы по описанию местоположен.границ территориальных зон Весенненского с/с Усть-Абаканского района-150,0                                             ^Работы по описанию местоположен.границ территориальных зон Райковского с/с Усть-Абаканского района -330,0    </t>
    </r>
  </si>
  <si>
    <r>
      <rPr>
        <b/>
        <sz val="14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4623,7 (РХ)                                                                                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</si>
  <si>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rPr>
        <b/>
        <sz val="14"/>
        <rFont val="Times New Roman"/>
        <family val="1"/>
        <charset val="204"/>
      </rPr>
      <t>Социальные выплаты гражданам, в соответствии с действующим законодательством -8881,7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8232,7 (МБ),      649,0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- 8011,20;                                                                                                                                                    2. Оказание материальной помощи малообеспеченным категориям населения -72,5;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- 49,0;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- 100,0 (6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4"/>
        <rFont val="Times New Roman"/>
        <family val="1"/>
        <charset val="204"/>
      </rPr>
      <t xml:space="preserve">               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649,0 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</si>
  <si>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- 10477,0 (РХ):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Субсидии на выполнения муниципального задания: из средств респуб.бюджета на оплату труда- 8193,7; услуги связи-205,3; коммунальные услуги -50,2, услуги по содержанию имущества-61,1; прочие услуги-103,7;  приобретение  основных средств -1625,1; приобретение мат.запасов- 171,5; прочие расходы - 66,4.</t>
    </r>
  </si>
  <si>
    <r>
      <t xml:space="preserve">Обеспечение мер социальной поддержки детей-сирот и детей,оставшихся без попечения родителей.                </t>
    </r>
    <r>
      <rPr>
        <b/>
        <i/>
        <sz val="14"/>
        <rFont val="Times New Roman"/>
        <family val="1"/>
        <charset val="204"/>
      </rPr>
      <t xml:space="preserve">1.Предоставление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- 47765,3, из них  11180,0 (РФ), 36585,3 (РХ).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Приобретены 16  квартир для лиц из числа детей-сирот и детей, оставшихся без попечения родителей. Выдали 2 сертификата и по ним приобретены квартиры.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</si>
  <si>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2.Капитальный ремонт, в муниципальных учреждениях, т.ч. разработка ПСД - 53,0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Проверка сметной документации на капитальный ремонт горячего водоснабжения МАУ "ЗЛ "Дружба"</t>
    </r>
  </si>
  <si>
    <r>
      <t>3. Мероприятия по организации отдыха, оздоровления и занятости несовершеннолетних  - 539,7 ,</t>
    </r>
    <r>
      <rPr>
        <sz val="14"/>
        <rFont val="Times New Roman"/>
        <family val="1"/>
        <charset val="204"/>
      </rPr>
      <t xml:space="preserve">в том числе:   </t>
    </r>
    <r>
      <rPr>
        <b/>
        <i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>Организация временного трудоустройства несовершеннолетних граждан в свободное от учебы время (в том числе состоящие  на учете в КДН) -5 учр.(16 дет.)- 146,6; трудовой отряд "СУЭК" оплата труда н/л МБОУ "Усть-Абаканская СОШ" (12 чел.) - 136,5, на орг. деятельности труд. отряда -33,5,ремонт котельной з/л Дружба-223,1.</t>
    </r>
  </si>
  <si>
    <r>
      <t xml:space="preserve">4.Проведение ремонта загородных детских лагерей, оздоровительных лагерей - 2373,20 (РХ)                                                                                             </t>
    </r>
    <r>
      <rPr>
        <sz val="14"/>
        <rFont val="Times New Roman"/>
        <family val="1"/>
        <charset val="204"/>
      </rPr>
      <t>^Капитальный ремонт горячего водоснабжения МАУ "ЗЛ "Дружба".</t>
    </r>
  </si>
  <si>
    <t xml:space="preserve">^тех.присоединение ИЖД с. Усть-Бюр - 27,9;                                                                                                                                                                                                  ^ПСД с. В-Биджа - 200,0;                                                                                                                                                                                                        ^госэксперт.на строит. с. В-Биджа-183,4;                                                                                                                                                                                                     ^земельный налог - 3,1; кадастровые работы-20,0.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</si>
  <si>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2.Содержание объекта по утилизации биологических отходов - 195,0</t>
    </r>
    <r>
      <rPr>
        <sz val="14"/>
        <rFont val="Times New Roman"/>
        <family val="1"/>
        <charset val="204"/>
      </rPr>
      <t xml:space="preserve">, в том числе :                                                                                            ^оплата за охрану и содержание объекта по договору.  </t>
    </r>
  </si>
  <si>
    <r>
      <rPr>
        <b/>
        <i/>
        <sz val="14"/>
        <rFont val="Times New Roman"/>
        <family val="1"/>
        <charset val="204"/>
      </rPr>
      <t xml:space="preserve">3.Осуществление отдельных государственных полномочий по предупреждению и ликвидации болезней животных - 4195,2 (РХ), из них: </t>
    </r>
    <r>
      <rPr>
        <sz val="14"/>
        <rFont val="Times New Roman"/>
        <family val="1"/>
        <charset val="204"/>
      </rPr>
      <t>заработная плата – 732,3; начисления на выплаты по оплате труда – 221,2; уничтожение биологических отходов путем сжигания в спец.печах - 2863,1; запчасти - 125,0; предрейсовый осмотр водителя-4,1; ГСМ-112,5; ремонт спецавтомобиля-131,3;ОСАГО-5,5;комиссия- 0,2.</t>
    </r>
  </si>
  <si>
    <r>
      <rPr>
        <b/>
        <sz val="14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- 16351,5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заработная плата - 11042,12; социальные пособия и компенсации персоналу - 56,70;прочие не социальные выплаты персоналу-4,0; начисления на выплаты по оплате труда - 3526,02; услуги связи - 108,66; коммунальные услуги-254,70; услуги по содержанию имущества - 129,08; прочие работы, услуги - 631,72; увеличение стоимости основных средств - 166,43; увеличение стоимости ГСМ - 243,1; увеличение стоимости мат.запасов - 170,33; увеличение стоимости мягкого инвентаря - 2,29;страхование-12,35; прочие налоги и сборы -4,0.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</si>
  <si>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1.1. Строительство, реконструкция объектов муниципальной собственности, в том числе проектно-сметная документация -110,2, из них: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 Разработка ПСД и инженерных изысканий системы водоснабжения с.Зеленое.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</si>
  <si>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1.2. Капитальный ремонт в муниципальных учреждениях, в том числе проектно-сметная документация - 525,7 , из них: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^Экспертиза проверки достоверности сметной стоимости по капитальному ремонту тепловой сети с.Солнечное - 73,4;                                  ^ Экспертиза проверки достоверности сметной стоимости, разработка ПСД на капитальный ремонт тепловой сети с.Солнечное-292,3;                                                                                                                                                                                                                                                  ^Экспертиза металлических дымовых труб в котельных аал.Доможаков,аал Чарков,с.Вершина-Биджа - 140,0;                                                                                                                                                                                                ^Профилактическое испытание электрооборудования объектов котельных по адресам: аал.Чарков,ул.Ленина 21А, п.Вершина-Биджа,ул.Полевая 1А-20,0;.</t>
    </r>
  </si>
  <si>
    <r>
      <rPr>
        <b/>
        <sz val="14"/>
        <rFont val="Times New Roman"/>
        <family val="1"/>
        <charset val="204"/>
      </rP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- 389,5, из них: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1. Ремонт асфальтобетонного покрытия автомобильной дороги ул. 30 лет Победы с. Вершино-Биджа - 99,0;                                                                                    2. Ремонт автомобильной дороги по ул. Механизаторская аал Доможаков, Усть-Абаканского района Республики Хакасия -162,40;                                      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- 56,6;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- 6,0;                                                                                                                                               5. Ремонт автомобильной дороги, расположенной по адресу: Республика Хакасия, Усть-Абаканский район, с. Московское, ул. Степная- 42,9;                   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- 22,6.</t>
    </r>
  </si>
  <si>
    <t xml:space="preserve">3. Ремонт автомобильных дорог - 8829,17, их них:                                                                                                                                                             ^ Ремонт асфальтобетонного покрытия автомобильных дорог местного значения в границах поселений Доможаковского, Московского, Вершино-Биджинского, Усть-Бюрского, Чарковского сельсоветов Усть-Абаканского района Республики Хакасия (ямочный ремонт)- 2 000,0;                                                                                                                                                                                       ^Ремонт автомобильной дороги по ул. Юбилейная с. Вершино-Биджа, Усть-Абаканского района Республики Хакасия (315м)-1 796,26;                              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по ул. Баумана с. Усть-Бюр, Усть-Абаканского района Республики Хакасия (660м)-                                                                                                             1 253, 80;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-0,48;                                                                                           ^Ремонт автомобильной дороги, расположенной по адресу: Республика Хакасия, Усть-Абаканский район, с. Усть-Бюр, ул. Лесхозная (652 м) -2 735,78;                                                                                                                                                                                                                                          ^Ремонт парковочной площадки, расположенной по адресу: Республика Хакасия, Усть-Абаканский район, с. Усть-Бюр, ул. Ленина, 48а - 1 042,85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</si>
  <si>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- 19081,3 (РХ), из них: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Ремонт асфальтобетонного покрытия автомобильной дороги ул. 30 лет Победы с. Вершино-Биджа (0,6 км)-4843,8;                                                       2. Ремонт автомобильной дороги по ул. Механизаторская аал Доможаков, Усть-Абаканского района Республики Хакасия (1,090км) -7957,8;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(1,010км) -2775,1;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(0,257км)-293,8;                                      5. Ремонт автомобильной дороги, расположенной по адресу: Республика Хакасия, Усть-Абаканский район, с. Московское, ул. Степная (0,27км) -2100,7.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(0,27км) - 1 110,1.</t>
    </r>
  </si>
  <si>
    <r>
      <t xml:space="preserve">4. Иные межбюджетные трансферты на содержание, капитальный ремонт, ремонт и строительство автомобильных дорог общего пользования, в том числе разработка проектно-сметной документации-9253,98,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Ремонт дорог ул. Дачная, ул. Тихая д. Чапаево - 7 500,0;                                                                                                                                                                   2. Ремонт автомобильной дороги по ул. Молодежная в д. Чапаево - 599,0;                                                                                                                            3. Устройство парковки по ул. Молодежная в д. Чапаево - 517,27;                                                                                                                                    4. Ямочный ремонт автомобильной дороги по ул. Советская в с. Калинино - 459,09;                                                                                                                5. Ремонт автомобильной дороги по ул. Советская в с. Калинино - 178 ,62.</t>
    </r>
  </si>
  <si>
    <t>4.Обеспечение безопасности дорожного движения (обустройство пешеходных переходов) - 606,2:                                                                     ^Выполнение работ по обустройству пешеходного перехода в районе МБОУ "В-Биджинская СОШ", расположенного по адресу: Республика Хакасия, Усть-Абаканский район, с. Вершино-биджа, ул. 30 лет Победы, 28 - 606,2.                                                                                5. Установка дорожных знаков - 195,36 ;                                                                                                                                                                                                6. Дорожная разметка - 439,69;                                                                                                                                                                                                                  7. Разработка ПОДД и технических паспортов - 842,82.</t>
  </si>
  <si>
    <r>
      <rPr>
        <b/>
        <sz val="14"/>
        <rFont val="Times New Roman"/>
        <family val="1"/>
        <charset val="204"/>
      </rPr>
      <t xml:space="preserve">Организация, координация туристической деятельности и продвижения туристического продукта .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 Мероприятия в области туризма - 65,0 в том числе: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Организация и проведение мероприятий:                                                                                                                                                                                                           1."День открытых дверей" - 29,7 (усл.шамана-13,2, оформление-16,5);                                                                                                                             2."День туризма" -29,38 (усл.шамана-13,18. оформление-16,20);                                                                                                                                            3. Мастер-классы - 2,78 (оформление);                                                                                                                                                                                                              4. Изготовление полиграфической продукции, направленной на популяризацию туристских объектов Усть-Абаканского района (буклеты, календари) - 3,14.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</si>
  <si>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6.Строительство универсального спортивного зала п.Усть-Абакан - 8794,94,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Стройконтроль-47,67; технологическое присоединение к теплосети-1664,17, авторский надзор-92,82; подключение к наружным сетям связи-156,0; технологическое присоединение к эл.сетям-428,32; внесение изменений в ПСД-143,65; строительство универсального спорт.зала-6032,31; кадастровые работы-230,0.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</si>
  <si>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8.Обеспечение деятельности подведомственных учреждений МАУ "Универсальный спортивный зал» - 1821,3, </t>
    </r>
    <r>
      <rPr>
        <sz val="14"/>
        <rFont val="Times New Roman"/>
        <family val="1"/>
        <charset val="204"/>
      </rPr>
      <t xml:space="preserve">в том числе: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- 223,59;                                                                                                                                                                                             2. Начисления на выплаты по оплате труда (ст.213) - 39,95;                                                                                                                                                                                        3. Прочие работы, услуги (ст.226) - 127,74;                                                                                                                                                                                         4. Увеличение стоимости основных средств (ст.310) - 862,61;                                                                                                                                              5. Мягкий инвентарь (ст. 345) - 9,09;                                                                                                                                                                                                    6. Увеличение стоимости прочих оборотных запасов (материалов)(ст.346) - 344,78;                                                                                                                7.  Увеличение стоимости прочих материальных запасов - 20,00.                                                                                                                                                                     Ост-к - 193,54.</t>
    </r>
  </si>
  <si>
    <r>
      <rPr>
        <b/>
        <i/>
        <sz val="14"/>
        <rFont val="Times New Roman"/>
        <family val="1"/>
        <charset val="204"/>
      </rPr>
      <t>5.Укрепление материально-технической базы - 150,0,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1. Спортинвентарь (мячи: футбольные, баскетбольные; конус спортивный, скакалка, кираса д/косики каратэ, макивара, диск д/штанги)-100,0;                                                                                                                                                                                        2.Спортинвентарь(мячи, мат)-50,0.                                                                                                                                                                                                  </t>
    </r>
  </si>
  <si>
    <t xml:space="preserve">16.Турнир по футболу(медали,кубки)—5,67;                                                                                                                                                                                  17. Первенство по боксу—10,20;                                                                                                                                                                                           18. Фестиваль хакасских народных игр (медали)—8,10;                                                                                                                                                                           19. Летняя эстафета (шоколад)—4,80;                                                                                                                                                                                              20. Турнир по наст. Теннису—2,56;                                                                                                                                                                                  21. Конкурс (денежные сертификаты)—4,0;                                                                                                                                                                                               22. Турнир по футболу—6,35;                                                                                                                                                                                                                         23. ГТО—7,06;                                                                                                                                                                                                                                                        24. Настольный теннис—3,7;                                                                                                                                                                                                                                          25. Орг.спорт.площадки—1,5;                                                                                                                                                                                                            26. 9 мая 9 сладкие подарки)—1,24;                                                                                                                                                                                                                                                        27. Каратэ (баннер)—5,9;                                                                                                                                                                                                                        28. Спортивные мероприятия ( вместо отмены дня физкультурника)- (сувениры)-(28,89+13,14)=42,03;                                                                                  29. Легкоатлетический кросс-2,53 (сувениры);                                                                                                                                                                                    30. Лучший спортсмен школы-4,0 (сувенир);                                                                                                                                                                                                        31. Открытие спортивного сезона-20,47;                                                                                                                                                                                                           32. Ледовый городок - (9,75+570,25)=580;                                                                                                                                                                                           33. День России (кубки, медали)— 7,68;   </t>
  </si>
  <si>
    <t>34. Откр. тур-р по хоккею с мячом-6,0;                                                                                                                                                                                                                         35. Тур-р по шахматам, футболу, теннису, баскетболу - 12,84;                                                                                                                                                                               36. Чемп-т перв-ва по рукопаш. бою-20,31;                                                                                                                                                                                                           37.Открытие ледового катка 1.12.2023-49,84;                                                                                                                                                                                               38. Районный тур-р по баскетболу среди девочек 2013 г.р. -2,46;                                                                                                                                                               39. Спартакиада ГТО-3,2;                                                                                                                                                                                                                  40. Тур-р по наст. теннису-3,6;                                                                                                                                                                                                                   41. Районный тур-р по наст. теннису в личном зачете с ОВЗ-4,9;                                                                                                                                                                                              42. Кросс Нации 2023-7,28,                                                                                                                                                                                                                                       43. Первенство по баскетболу - 6,02;                                                                                                                                                                                                                                             44. Наст. теннис - 5,7.</t>
  </si>
  <si>
    <r>
      <t>Обеспечение развития отрасли физической культуры и спорта.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</t>
    </r>
    <r>
      <rPr>
        <b/>
        <i/>
        <sz val="14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-5976,42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Заработная плата - 4466,10;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- 1283,02;                                                                                                                                                                3.Больничные листы-4,9;                                                                                                                                                                                                           Остаток - 222,4.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</si>
  <si>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с сфере физической культуры и спорта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- 1024,22,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Проведение открытого первенства по волейболу среди мальчиков ,по мини-футболу среди девушек - 12,00 (Медали, кубки);                                                                                                                                                                                                                                                                     2. Муниципальный этап зимнего Фестиваля ВФСК «ГТО» - 4,56 (медали);                                                                                                                                   3.Открытый турнир по хоккею с мячом, памяти 1-го тренера У-Абакана П.А. Морозова среди мальчиков - 14,50 (медали, кубки, статуэтка, баннер);                                                                                                                                                                                                                                    4. Открытый турнир по хоккею с мячом на кубок Главы У-Абаканского района среди мальчиков  - 30,00(медали, кубки, статуэтка, торт, спортинвентарь) ;                                                                                                                                                                                                   5. Проведение XVI-й Усть-Абаканского района, посвящ. победе ВОВ 1941-1945 гг. -  25,35 (кубки, медали);                                                                                                          6. Проведение турнира У-Абаканского р-на по мини-футболу, посвящ. Защитникам Отечества, погибших при проведении СВО на Украине -9,45;                                                                                                                                                                                                                       7.Проведение соревнований «Лыжня России-2023» - 21,76 (медали, приз-статуэтка на камне);                                                                                                                      8. Проведение спартакиады — 12,97;                                                                                                                                                                                                            9. Проведение открытого районного турнира по греко-римской борьбе — 8,16;                                                                                                             10. Спартакиада (медали,кубки) — 10,29;                                                                                                                                                                                                11. Фестиваль наст. Игр д/людей с орг.возм. (медали,призы)— 4,14;                                                                                                                                               12. Спартакиада по конному спорту(кубки) — 8,50;                                                                                                                                                            13. Турнир по футболу (кубки, призы, статуэтка) — 4,05;                                                                                                                                                                                   14. Турнир по минифутболу (кубки, медали, призы)—12,15;                                                                                                                                                                               15. Турнир по футболу ( кубки, медали, призы)— 6,40;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</si>
  <si>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-5079,7.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- 180,0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стендов по ГО и ЧС  - 12,0;                                                                                                                                                          ^Изготовление баннера - 4,5;                                                                                                                                                                                                ^Изготовление памяток - 16,4;                                                                                                                                                                                                                                                            ^Проведение мероприятий по ликвидации ЧС, связанному с заразным узелковым дерматитом, в с.Калинино,аал.Сапогов - 147,1.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3.Материально-техническое обеспечение единых дежурно-диспетчерских служб муниципальных образований - 395,2,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>7,9</t>
    </r>
    <r>
      <rPr>
        <b/>
        <i/>
        <sz val="14"/>
        <rFont val="Times New Roman"/>
        <family val="1"/>
        <charset val="204"/>
      </rPr>
      <t xml:space="preserve"> (МБ), 387,3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^Приобретение автоматизированнойая системы мониторинга окружающей среды - 106,4                                                                                                      ^Приобретение источника бесперебойного питания - 60,2;
^Приобретение телефонного аппарата - 4,5;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форменной одежды для персонала - 31,4                                                                                                                                                        ^Приобретение дивана -25,1                                                                                                                                                                                                                                  ^Приобретение оргтехники (клавиатура,мыши для компьютера, монитор,системный блок,МФУ) - 167,6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</si>
  <si>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-2103,4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1.Заработная плата (ст.211) — 1272,52;                                                                                                                                                                                                              2.Начисления на выплаты по оплате труда (ст.213) — 364,08;                                                                                                                                                               3.Услуги связи (ст.221) —20,32;                                                                                                                                                                                                                 4.Услуги по содержанию имущества (ст.225)- 2,4;                                                                                                                                                                   5.Увеличение стоимости прочих материальных запасов (ст. 346)- 18,63 (канц. товары);                                                                                                     6.Больничные листы(ст.266) - 6,2;                                                                                                                                                                                                                                  7.Командировочные расходы(ст.226) - 35,5;                                                                                                                                                               8.Увеличение стоимости основных средств (ст. 310)- 244,75;                                                                                                                                                                                                          9. Остаток на счете-139,0             </t>
    </r>
  </si>
  <si>
    <r>
      <rPr>
        <b/>
        <i/>
        <sz val="14"/>
        <rFont val="Times New Roman"/>
        <family val="1"/>
        <charset val="204"/>
      </rPr>
      <t>2. Мероприятия в области молодежной политики - 538,0,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1.Проведение районного мероприятия «Встреча с Главой в честь празднования Дня студента»  - 14,0 (Подарки с символикой, баннер);                                                                                                                                                                                                                                              2.Районная акция «Блокадный хлеб» - 2,4 (хлеб 75 гр.).                                                                                                                                              3.Трудоустройство несовершеннолетним  — 55,0;                                                                                                                                                                   4.9 мая — 38,74;                                                                                                                                                                                                                               5.Районный слет «Доброе дело» —28,8;                                                                                                                                                                                            6.Акция «Здоровая Россия» —11,20;                                                                                                                                                                                                   7.Грант Главы-50,0;                                                                                                                                                                                                                  8.Мегапикник-31,8;                                                                                                                                                                                                                                                   9.Молодёжная инициатива - 37,0;                                                                                                                                                                                                                         10.Безымянных могил не бывает - 21,0;                                                                                                                                                                                      11.Экологическая акция -1,0;                                                                                                                                                                                                                                                         12.Форум активной молодежи - 89,44;                                                                                                                                                                                                                                        13.День матери - 9,8;                                                                                                                                                                                                                                                               14.Премия главы - 52,0 (УК)+6,5=58,5;                                                                                                                                                                                                                     15.Утро с МФЦ- 25,64;                                                                                                                                                                                                                                                                                                     16.Праздник в каждый дом- 29,67;                                                                                                                                                                                                                                  17.Волонтерам быть здорово - 19,0;                                                                                                                                                                                                                                                                                                                             18.Конкурс с детьми ОВЗ - 6,6;                                                                                                                                                                                                                                                                 19.Доброспектр - 8,4; 20. Ост-к: чистый берег-0,01.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</si>
  <si>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- 7225,8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1. Заработная плата (ст.211) — 5157,87;                                                                                                                                                                          2. Начисления на выплаты по оплате труда (ст.213) — 1604,54;                                                                                                                                                            3. Соц. пособия (Б. листы) (ст. 266)  - 9,38;                                                                                                                                                                                                                                                                4. Услуги связи (ст.221) — 21,84;                                                                                                                                                                                                                     5. Услуги по содержанию имущества (ст.225) — 9,6 (заправка и ремонт картриджа и системного блока);                                               6. Прочие работы и услуги (ст.226) — 410,07 ;                                                                                                                                                                                                                           7. Увеличение стоимости прочих материальных запасов (ст. 346)- 8,0 (канц. товары);                                                                                                                                                                                                      8. Увелич. ст-ти ОС (ст 310)- 1,0                                                                                                                                                                                                                                      9. Командировочные расходы(суточные)-3,5.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</si>
  <si>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РДК Дружба:                                                                                                                                                                                                                                                                  1. Орг.взнос Всероссийского конкурса хореограф. Искусства «Pachka» г. Абакан— 7,0 ;                                                                                                                 2. Районная выставка мастеров декоративно-прикладного тв-ва «Волшебные нити» — 6,1 (оформление, призы);                                                                           3. День работников культуры — 30,0 (сувениры 46 шт.);                                                                                                                                               4. Чыл Пазы аал Райков  — 3,0 (сладкие призы);                                                                                                                                                            5. Орг.взнос Всероссийского фестиваля по хореографии«Сибирская карусель» г. Абакан  — 7,2;                                                                                         6. Районный конкурс-выставка декоративно-прикладного искусства «Слава тебе защитник» — 6,1 (призы, грамоты);                                                           7. Пасхальное чудо — 11,2;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Уч-ие в межрегиональном конкурсе-(орг.взнос)-3,0;                                                                                                                                                                                                                                                 9. Уч-ие во всероссийском фестивале-конкурсе (орг взнос)-6,0;                                                                                                                                                                                  10. Фестиваль патриотической песни-15,0;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Праздник первого грома-3,0;                                                                                                                                                                                                                                                                                                                                           12. Конкурс «сказочная страна»-7,72;                                                                                                                                                                                                                                                                                                     13. Летний отдых (мастер-классы)-15,0;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 Международный фестиваль «КИТ»(орг взнос)-5,6;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Участие в хореограф. Конкурсе «Сила движ» (пошив 12 костюмов)-96,0;                                                                                                                                            16. Выездные мероприятия — 22,72;                                                                                                                                                                                     17.Портативная акустика д/выездн. мероприятий - 109,0.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</si>
  <si>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- 24236,5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1.Заработная плата (ст.211) — 14740,40;                                                                                                                                                                        2.Начисления на выплаты по оплате труда (ст.213) — 4224,8;                                                                                                                3.Социальные пособия(ст266)- 36,95;                                                                                                                                                                 4.Командировочные (ст212)-3,5;                                                                                                                                                                                    5.Услуги связи (ст.221) — 88,7;                                                                                                                                                                6.Коммунальные услуги (ст.223) —2115,96;                                                                                                                                                          7.Работы, услуги по содержанию имущества (ст.225) —334,1;                                                                                                                                         8. Прочие работы, услуги (ст.226) — 404,6;                                                                                                                                                               9.Увеличение стоимости основных средств (ст.310) —88,8;                                                                                                                                                                                                                                                 10.Увеличение стоимости ГСМ (ст.343) —251,64 ;                                                                                                                                                                                                                                             11.Увеличение стоимости строит. материалов (ст.344) — 153,58;                                                                                                                         12.Увеличение стоимости прочих оборотных запасов( ст.346) — 226,23 (канц. и хоз.товары);                                                                   13.Прочие расходы (ст.290)- 0,60;                                                                                                                                                                                                                    14.Страхование (ст.227) —  34,5;                                                                                                                                                                                  15.Медикаменты(ст 349)-0,25;                                                                                                                                                                                                               16.Налоги, сборы прочие ( ст.291) - 367,73;                                                                                                                                                                                                      Остаток на счете - 1164,16.                                                                                                                                                               </t>
    </r>
  </si>
  <si>
    <t xml:space="preserve">19. 35-Летие ВОИ-17,92;                                                                                                                                                                                                         20. День лошади — 3,0;                                                                                                                                                                                                                                                            21. День дошк.работника-10,45;                                                                                                                                                                                                     22. Конкурс пожил.людей-25,0.                                                                                                                                                                                                                                               26. Мероприятие "Родине служить"-5,0;                                                                                                                                                                                                                             27. Конкурс "Творчество б/границ-10,03;                                                                                                                                                                                                  28. Фотоконкурс "Улыбка моей мамы"-7,95;                                                                                                                                                                                                      29. Повышение квалиф. тр. в учр.-8,80;                                                                                                                                                                                                        30. Онлайн конкурс "Хорошо нам с бабушкой и дедушкой" - 3,0;                                                                                                                                                                                              31. День сотрудников ОВД-3,41;                                                                                                                                                                                                                             32. Конкурс "Рожденные в СССР"-27,36;                                                                                                                                                                                                   33. В кругу друзей-6,98;                                                                                                                                                                                                                                                                                        34. Оформление елки-(82,44-17,65)=64,79;                                                                                                                                                                                                          35. Фотоконкурс "Папа Вам не мама"-4,90;                                                                                                                                                                                        36. Конкурс "Марафон творчества"- 20,63;                                                                                                                                                                                                                   37. С любовью д/мамы-8,16;                                                                                                                                                                                                                        38. Конкурс "Мастерская природы"-38,56;                                                                                                                                                                                             39. Фестиваль казачьей культуры-49,1;                                                                                                                                                                                                                                        40. Поддержка участников СВО-5,98.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</si>
  <si>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32. ДПИ "О чем мечтает папа" - 20,33;                                                                                                                                                                                                            33. День матери - 9,97;                                                                                                                                                                                                                                      34. Оформление уличной елки - 97,03;                                                                                                                                                                                                                                                                35. Участие в респ. конкурсе баллетмест. им. С.Д. Словиной - 39,82;                                                                                                                                                                   36.Блокировка системы ПС-38,73;                                                                                                                                                                                                                                                                                                                       37. Противопожарные двери - 70,25;                                                                                                                                                                                                        38.Новогодний бал д/старшего поколения - 26,32;                                                                                                                                                                                                               39. Елка желаний - 28,30;                                                                                                                                                                                                                                      40. Костюмы - 77,00;                                                                                                                                                                                                                                                       41.Районный конкурс ДПИ "Новогоднее чудо" - 15,00;                                                                                                                                                                                 42. Всероссийский конкурс хореографии "Стежки дорожки"-59,71.                                                                                                                                                          Ост-к: 281,76.</t>
  </si>
  <si>
    <r>
      <t xml:space="preserve">3.Капитальный ремонт в муниципальных учреждениях,в том числе проектно-сметная документация-297,4, из них: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1.Госэкспертиза (ДШИ) — 89,1;                                                                                                                                                                                                                              2. Проверка сметной докум. на кап.ремонт фойе (ДК Гагарина) — 121,95.                                                                                                                                                              Остаток - 86,35 (Госэкспертиза РДК)</t>
    </r>
  </si>
  <si>
    <r>
      <rPr>
        <b/>
        <i/>
        <sz val="14"/>
        <rFont val="Times New Roman"/>
        <family val="1"/>
        <charset val="204"/>
      </rPr>
      <t>4.Укрепление материально-технической базы - 568,0,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1. Акустика (микрофонный кабель, каб. разъем, акуст .кабель) ДК им. Гагарина — 31,7;                                                                                    2.Радиоаппаратура-41,58;                                                                                                                                                                                                                     3.Музыкальное оборудование-149,67;                                                                                                                                                                                                                4. Световое оборудование - 33,0                                                                                                                                                                                                               5.Сетевой пульт — 23,30;                                                                                                                                                                                                                           6. Ноутбук — 146,25;                                                                                                                                                                                                                                                           7. Сетевой прибор— 37,5 (РДК).                                                                                                                                                                                                                    Ост-к: 105,00 (акустическая система ДК)                        </t>
    </r>
  </si>
  <si>
    <r>
      <rPr>
        <b/>
        <i/>
        <sz val="14"/>
        <rFont val="Times New Roman"/>
        <family val="1"/>
        <charset val="204"/>
      </rPr>
      <t xml:space="preserve">1.4.Поддержка и развитие систем коммунального комплекса в муниципальных образованиях Республики Хакасия - 5782,3 в том числе: 5666,6 (РХ), 115,7 (МБ):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^Поставка блочно-модульной котельной с установкой в с. Солнечное - 4704,0;                                                                                                                                                                                                                                                                                                      ^Технологическое присоединение электроустановки системы водоснабжения с.Зеленое - 1078,3.</t>
    </r>
  </si>
  <si>
    <t xml:space="preserve">21. Приобретение (монитор, ультразвук, проектор) - 108,20;                                                                                                                                                                        22. Приобретение офисной мебели (мышь б/пров., кресло офисное)-34,10;                                                                                                                                                                                                    23. Приобретение орг. техники (принтер 2 шт)-61,80;                                                                                                                                                                                            24. Ремонт двери - 37,03;                                                                                                                                                                                                               25. Стеллажи офисные - 1012,80;                                                                                                                                                                                                                                                             26. Приобретение (брошюратор, ламинатор, колонки) -11,93;                                                                                                                                               Остаток на счете - 72,8.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</si>
  <si>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- 3015,4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1.МФУ лазерное Xerox WorkCenter — 26,50 ;                                                                                                                                                                                   2.Мониторы Philips — 31,34;                                                                                                                                                                                       3.База данных электронный каталог ЛитРес: Библиотека — 50,0; Обучение — 9,37;                                                                                                                                                     4.Ноутбук HP — 30,0.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5.Текущий ремонт Чапаевской библиотеки-524,58;                                                                                                                                                                                                                                                                                                                      6.Подписка —0,83;                                                                                                                                                                                                                                                  7.Книги — 234,4;                                                                                                                                                                                                                8.Брощюровщик —7,3;                                                                                                                                                                                                                     9.Проектор—91,5;                                                                                                                                                                                                                                                10.Принтеры—93,90;                                                                                                                                                                                                                                                                          11.Сист. Блок—77,8;                                                                                                                                                                                                                                              12.Открытие «Недели хакасской лит-ры и культуры»—4,08;                                                                                                                                                                                                                                                                                    13.Юбилей Сапоговской библ.—4,59                                                                                                                                                                                 14.Комплектование книжных фондов-200,00;                                                                                                                                                                                                     15.Создание усл. д/откр. моб. библиотеки-39,99;                                                                                                                                                                  16.Оформление детской библиотеки (мебель, игрушки)-35,96;                                                                                                                                        17.Юбилей юношеской библиотеки-14,71;                                                                                                                                                                         18.Приобр. биб. техники (формуляры, карточки и т.д.)-11,97;                                                                                                                                                              19. Юбилей библиотек Ташебинской +Калининской - 43,54;                                                                                                                                                              20. Текущий ремонт библиотек (№24-21,57; №21-64,01; №18-28,79)-144,38;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</si>
  <si>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3.Капитальный ремонт в муниципальном учреждении, в т.ч проектно-сметная документация - 217,8,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                                                      ^Капитальный ремонт библиотеки-217,8</t>
    </r>
    <r>
      <rPr>
        <b/>
        <i/>
        <sz val="14"/>
        <rFont val="Times New Roman"/>
        <family val="1"/>
        <charset val="204"/>
      </rPr>
      <t xml:space="preserve"> </t>
    </r>
  </si>
  <si>
    <r>
      <t xml:space="preserve">4.Укрепление материально-технической базы муниципальных учреждений в сфере культуры- 970,5, из них:                                                         19,4(МБ), 951,1 (РХ). 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1.Комплектование книжных фондов- 970,5;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</si>
  <si>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5.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i/>
        <sz val="14"/>
        <rFont val="Times New Roman"/>
        <family val="1"/>
        <charset val="204"/>
      </rPr>
      <t xml:space="preserve">- </t>
    </r>
    <r>
      <rPr>
        <b/>
        <i/>
        <sz val="14"/>
        <rFont val="Times New Roman"/>
        <family val="1"/>
        <charset val="204"/>
      </rPr>
      <t>508,9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</t>
    </r>
    <r>
      <rPr>
        <i/>
        <sz val="14"/>
        <rFont val="Times New Roman"/>
        <family val="1"/>
        <charset val="204"/>
      </rPr>
      <t>:</t>
    </r>
    <r>
      <rPr>
        <b/>
        <i/>
        <sz val="14"/>
        <rFont val="Times New Roman"/>
        <family val="1"/>
        <charset val="204"/>
      </rPr>
      <t xml:space="preserve"> 10,2(МБ), 498,7(РХ).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Предоставление широкополосного доступа к сети интернет 13-ти филиалам МБУК «Усть-Абаканская ЦБС».</t>
    </r>
  </si>
  <si>
    <r>
      <rPr>
        <b/>
        <i/>
        <sz val="14"/>
        <rFont val="Times New Roman"/>
        <family val="1"/>
        <charset val="204"/>
      </rPr>
      <t xml:space="preserve">3. Обеспечение безопасности музейного фонда и развитие музеев - 451,7, из них: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1.Дератизация, акарицидная обработка-75,6;                                                                                                                                                                            2.Опашка территории-22,3;                                                                                                                                                                                                          3.Хакасская нац. одежда-72,1;                                                                                                                                                                                                               4.Мероприятие "Ожившая история долины царей"-29,2;                                                                                                                                                                                                        5.Стеллажи д/музея-252,5.</t>
    </r>
  </si>
  <si>
    <r>
      <rPr>
        <b/>
        <i/>
        <sz val="14"/>
        <rFont val="Times New Roman"/>
        <family val="1"/>
        <charset val="204"/>
      </rPr>
      <t>4.Проведение мероприятий для ветеранов ВОВ, тружеников тыла, вдов ветеранов ВОВ, «детей войны» в связи с празднованием 78-й годовщины Победы за счет средств благотворительной помощи от АО «Угольная компания «Разрез Степной» по договору № РС-2023/392 от 27.04.2023 года - 100,0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1. Ограждение металлическое (9 мая) —100,00.</t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</si>
  <si>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1.Создание условия для обеспечения современного качества образования - 340,54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^Конкурсы, праздники для школьников и дошкольников - 81,19;                                                                                                                                       ^Поощрит.выплаты выпускникам-медалистам-45,0;                                                                                                                                                                     ^Проезд учащихся-победителей в лагерь -214,35.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</si>
  <si>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34162,02,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Расходы на выполнения муниципального задания из средств районного бюджета: оплата труда-28474,84, услуги связи-27,26, коммунальные услуги-880,59, услуги по содержанию имущества-337,67, прочие услуги-770,05, прочие расходы-128,51,  увеличение стоимости основных средств-912,06; увеличение стоимости материальных запасов-793,87,остаток на счете-1837,17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</si>
  <si>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17881,90,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                                                 Расходы на выполнения муниципального задания из средств районного бюджета: оплата труда-15408,0, услуги связи-17,92, коммунальные услуги -680,29, услуги по содержанию имущества-87,94, прочие услуги- 149,57, прочие расходы-0,6, увеличение стоимости основных средств - 389,53, увеличение стоимости материальных запасов - 22,15, остаток на счете-1125,9  </t>
    </r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</si>
  <si>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- 15530,14,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оплата труда-14839,58, услуги связи-52,96, коммунальные услуги -259,32, услуги по сод.имущества - 193,83, прочие услуги-81,02, прочие расходы-7,84, приобретение мат.запасов-95,59.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</si>
  <si>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2.Строительство,реконструкция объектов муниципальной собственности, в том числе разработка проектно-сметной документации - 72,74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^Земельный налог под строительство д/с в д.Чапаево.</t>
    </r>
  </si>
  <si>
    <t xml:space="preserve">^Монтаж, замена уличного освещения: д/с Родничок-52,45, д/с Звездочка-167,91; д/с Калинка-24,24 (столб)                                                                    ^Приобретение огнетушителей: д/с Радуга-21,73;                                                                                                                                                                      ^Приобретение мультимедии: д/с Ромашка-50,2;                                                                                                                                                                   ^Приобретение кондиционера: д/с Рябинушка-96,6.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</si>
  <si>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3.Мероприятия по развитию дошкольного образования - 7901,09,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группу ( д/с Солнышко-106,0, д/с Рябинушка-199,1,д/сЗвездочка-122,1,д/сАленушка-138,32,           д/с Радуга - 22,75);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 д/с Ромашка-23,44, д/с Рябинушка-112,27, д/с Радуга-168,57, д/с Аленушка-130,0);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Ромашка-55,0, д/сСолнышко - 37,90);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Ромашка-8,0, д/сРябинушка-13,0,д/с Солнышко-7,8, д/с Радуга-4,0);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окон,дверей (д/с Солнышко-122,4, д/с Рябинушка - 53,84) ;                                                                                                                                                                                                            ^Приобретение стиральной машины (д/с Ромашка)- 40,0.                                                                                                                                                          ^Ремонт крыши (д/с Солнышко)- 2510,2;                                                                                                                                                                               ^Ремонт освещения, электрооборудования( д/с Рябинушка-165,44, д/с Солнышко-80,98);                                                                         ^Приобретение напольного покрытия: д/с Аленушка-35,0;                                                                                                                                                          ^Приобретение игр.оборуд.на участок: д/с Рябинушка-154,2;                                                                                                                                         ^Проверка качества огнезащитной обработки дерев.конструкций: д/с Радуга-13,6; д/с Ромашка - 12,3.                                                                                                         ^Замена пожарной лестницы (д/с Ромашка)-597,85;                                                                                                                                                 ^Монтаж АУПС (д/с Рябинушка)-1133,3;                                                                                                                                                                                               ^Устройство брусчатки д/с Аленушка-1410,6;                                                                                                                                                                            ^Приобретение телефона (д/с Радуга)- 5,0;                                                                                                                                                      ^Приобретение колонки (д/с Рябинушка)- 5,0.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</si>
  <si>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- 142877,35 (РХ)</t>
    </r>
    <r>
      <rPr>
        <b/>
        <sz val="14"/>
        <rFont val="Times New Roman"/>
        <family val="1"/>
        <charset val="204"/>
      </rPr>
      <t xml:space="preserve">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труда-139686,24, услуги связи-75,07, прочие услуги- 1815,90, приобретение мат.запасов-694,18,приобретение основных средств-605,96.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</si>
  <si>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5. Модернизация региональных систем дошкольного образования - 3267,35, из них: 3202,00 (РХ), 65,35 (МБ)</t>
    </r>
    <r>
      <rPr>
        <b/>
        <sz val="14"/>
        <rFont val="Times New Roman"/>
        <family val="1"/>
        <charset val="204"/>
      </rPr>
      <t xml:space="preserve">:                                                                   </t>
    </r>
    <r>
      <rPr>
        <sz val="14"/>
        <rFont val="Times New Roman"/>
        <family val="1"/>
        <charset val="204"/>
      </rPr>
      <t>1. Монтаж входных калиток: д/с Звездочка, д/с Солнышко, д/с Аленушка, д/с Ласточка, д/с Родничок, д/с Радуга,                                          д/с Ромашка, д/с Рябинушка; 2. Кап.ремонт кровли, замена окон: д/с Звездочка.</t>
    </r>
  </si>
  <si>
    <r>
      <rPr>
        <b/>
        <i/>
        <sz val="14"/>
        <rFont val="Times New Roman"/>
        <family val="1"/>
        <charset val="204"/>
      </rPr>
      <t>2. Капитальный ремонт в муниципальных учреждениях, в том числе проектно-сметная документация - 905,87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1.Проверка сметной документации на капитальный ремонт спортивного зала Чарковская СОШИ-34,78;                                                                      2. Проверка смет.док. на кап.ремонт: Весенненская СОШ-5,0, У-А СОШ-5,0;                                                                                                                                                                                                   3. Гос.экспертиза на кап.ремонт: У-А СОШ-145,96, Весенненская СОШ-116,13;                                                                                                                                                    4. ПСД на кап.ремонт кровли Доможаковская СОШ-599,0.  </t>
    </r>
  </si>
  <si>
    <r>
      <rPr>
        <b/>
        <i/>
        <sz val="14"/>
        <rFont val="Times New Roman"/>
        <family val="1"/>
        <charset val="204"/>
      </rPr>
      <t>4.Ежемесячное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- 36195,71 (ФБ)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</si>
  <si>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- 603727,94(РХ)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труда- 589563,22; услуги связи- 167,52; прочие услуги-4565,22; приобретение основных средств- 6898,80; приобретение мат.запасов - 2533,18.   </t>
    </r>
  </si>
  <si>
    <r>
      <t>6.Приобретение жилья для специалистов с высшим педагогическим образованием - 7602,63, из них:  7450,58 (РХ), 152,05(МБ)</t>
    </r>
    <r>
      <rPr>
        <sz val="14"/>
        <rFont val="Times New Roman"/>
        <family val="1"/>
        <charset val="204"/>
      </rPr>
      <t>Приобретение квартир для педагогов.</t>
    </r>
  </si>
  <si>
    <t xml:space="preserve">8.Организация школьного питания - 6502,78 из них: 1951,77 (МБ), 4551,01(РХ).         </t>
  </si>
  <si>
    <t xml:space="preserve">9. Частичное погашение кредиторской задолженности - 4,08, в том числе: 4,0 (РХ),0,08 (МБ) </t>
  </si>
  <si>
    <r>
      <rPr>
        <b/>
        <i/>
        <sz val="14"/>
        <rFont val="Times New Roman"/>
        <family val="1"/>
        <charset val="204"/>
      </rPr>
      <t xml:space="preserve">10.Организация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4"/>
        <rFont val="Times New Roman"/>
        <family val="1"/>
        <charset val="204"/>
      </rPr>
      <t>- 34214,4</t>
    </r>
    <r>
      <rPr>
        <b/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 xml:space="preserve">342,14 (МБ), 3387,23(РХ), 30485,03(ФБ).                                                                                                                                                                 </t>
    </r>
  </si>
  <si>
    <t>13.Устройство пандуса: Весенненская СОШ-215,91;                                                                                                                                                                                 14.Монтаж видеонаблюдения: Калининская СОШ-125,68;                                                                                                                                                                                                            15.Ремонт кровли: Сапоговская СОШ-80,97, У-А СОШ-300,99 (водосточн.);                                                                                                      16.Проект ЗСО: Сапоговская СОШ-157,35;                                                                                                                                                                                                                                                                         17.Сан-эпид.экспертиза ЗСО: Сапоговская СОШ-19,04;                                                                                                                                                                                         18.Изготов.тех.паспорта: Весенненская СОШ-44,12;                                                                                                                                                                            19.Приобретение кондиционеров: Доможаковская СОШ-39,5, Росток-90,0, Красноозерная ООШ-37,15;                                                      20.Ремонт ограждения: У-А СОШ-753,84, У-Бюрская СОШ-418,34;                                                                                                                       21.Ремонт помещений: У-А СОШ-861,99, ОШИ-2385,57, Расцветская СОШ-1506,59, Сапоговская СОШ-734,63, Чарковская СОШИ-4463,95 (интернат), Опытненская СОШ-218,75 (вентиляция), Калининская СОШ-1980,45 (пищ.блок), Красноозерная ООШ-22,0, Расцветская СОШ-409,50, Доможаковская СОШ-43,69;                                                                                                                                                                                             22.Приобретение футболок: У-А СОШ-10,0;                                                                                                                                                                                                                             23.Приобретение оборуд.в музей: Солнечная СОШ-50,0, У-Бюрская СОШ-40,0, Весенненская СОШ-50,0;                                                                24.Огнезащит.обраб.: У-А СОШ-68,61, Калининская СОШ-39,15;                                                                                                                                                                25.Проверка кач-ва огн.обр.: ОШИ-4,0, Калининская СОШ-4,0 , Опытненская СОШ-18,0, Московская СОШ-13,0, Чарковская СОШИ-13,0, У-Бюрская СОШ-19,04;</t>
  </si>
  <si>
    <r>
      <t xml:space="preserve">Региональный проект Республики Хакасия «Цифровая образовательная среда»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образовательных организаций материально-технической базой для внедрения цифровой образовательной среды - 20486,19, из них: 16078,10 (ФБ); 4162,41 (РХ); 245,68 (МБ)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Приобретение орг.техники для каб. ЦОС Чарковская СОШИ -3751,88, Росток-3751,88, Доможаковская СОШ -3751,88, Сапоговская СОШ-3751,88, Красноозерная ООШ-1397,04;                                                                                                                                         2. Приобретение уч.мебели: Чарковская СОШИ -257,63, Росток-244,36, Сапоговская СОШ-251,7, Красноозерная ООШ-231,78;                                                                                                                                                                                                         3. Ремонт каб.: Чарковская СОШИ -762,78, Росток-776,04, Сапоговская СОШ-768,71, Красноозерная ООШ-788,63.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</si>
  <si>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Региональный проект Республики Хакасия «Успех каждого ребенка»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- 3357,30, из них: 2290,39(РФ), 1023,13(РХ), 43,78(МБ)</t>
    </r>
    <r>
      <rPr>
        <sz val="14"/>
        <rFont val="Times New Roman"/>
        <family val="1"/>
        <charset val="204"/>
      </rPr>
      <t xml:space="preserve">                                                                                Капитальный ремонт спорт.зала и приобретение спорт.инвентаря Чарковская СОШИ.    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</si>
  <si>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организациях- 323,51, из них 320,28 (ФБ),3,23 (РХ)    </t>
    </r>
    <r>
      <rPr>
        <sz val="14"/>
        <rFont val="Times New Roman"/>
        <family val="1"/>
        <charset val="204"/>
      </rPr>
      <t>Оплата труда советников.</t>
    </r>
  </si>
  <si>
    <r>
      <rPr>
        <b/>
        <i/>
        <sz val="14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         48 128,00 (РХ)</t>
    </r>
    <r>
      <rPr>
        <b/>
        <sz val="14"/>
        <rFont val="Times New Roman"/>
        <family val="1"/>
        <charset val="204"/>
      </rPr>
      <t>, в том числе:</t>
    </r>
    <r>
      <rPr>
        <sz val="14"/>
        <rFont val="Times New Roman"/>
        <family val="1"/>
        <charset val="204"/>
      </rPr>
      <t xml:space="preserve"> Опекунское пособие на 280 детей - 29396,3; вознаграждение приемным семьям 44 чел. - 18731,7.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</si>
  <si>
    <r>
      <t xml:space="preserve">5.Ремонт загородных детских лагерей, оздоровительных лагерей - 48,5 </t>
    </r>
    <r>
      <rPr>
        <sz val="14"/>
        <rFont val="Times New Roman"/>
        <family val="1"/>
        <charset val="204"/>
      </rPr>
      <t>Софинансирование к республиканскому бюджету на капитальный ремонт горячего водоснабжения МАУ "ЗЛ "Дружба".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</si>
  <si>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- 19188,5, в том числе: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   заработная плата – 13433,31; начисления на выплаты по оплате труда – 4025,84; пособие по врем.нетрудоспособности-30,99; командировочный расходы - 1,0; услуги связи- 158,38; страховка - 4,1; ГСМ-47,7; работы, услуги по содержанию имущества – 79,6; прочие работы, услуги – 863,32; увеличение стоимости основных средств –445,06; увеличение стоимости материальных запасов – 90,4;величение стоимости прочих материальных запасов-7,2; налоги-1,6.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</si>
  <si>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- 10262,70,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- 7210,49;выходное пособие-47,44; пенсии, пособия, выплачиваемые работодателями, нанимателями бывшим работникам в денежной форме-181,17; начисления на выплаты по оплате труда – 2245,87; услуги связи – 84,4; работы, услуги по содержанию имущества – 73,36; прочие работы, услуги – 165,58; увеличение стоимости материальных запасов – 62,59; увеличение стоимости основных средств – 130,35; ГСМ-55,28; ОСАГО-5,29;  транспорт.налог-0,88.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</si>
  <si>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- 771,00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</si>
  <si>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- 1506,50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- 720,50 (РХ)      </t>
    </r>
  </si>
  <si>
    <r>
      <t>5.Финансовое обеспечение расходных обязательств поселений на решение вопросов местного значения -                          6867,10 (МБ).               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Иные межбюджетные трансферты бюджетам поселений на финансовое обеспечение расходных обязательств по решению вопросов местного значения.</t>
    </r>
  </si>
  <si>
    <r>
      <t xml:space="preserve">6. Повышение эффективности деятельности органов местного самоуправления-144,80, из них 141,80(РХ), 3,0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18 человек, в том числе: администрация - 8чел. (73,5), УЖКХ - 2чел. (11,5), УФиЭ - 2 чел. (10,4), УИЗО - 2 чел. (14,4), Управление сельского хозяйства - 2чел. (4,9), Управление образования- 1 чел.(20,6), УКМПСТ - 1 чел (9,5).</t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</si>
  <si>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- 122 359,0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- 122359,00.                                                                    </t>
    </r>
  </si>
  <si>
    <r>
      <t xml:space="preserve">Развитие архивного дела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- 156,7, из них:                                                                                 </t>
    </r>
    <r>
      <rPr>
        <sz val="14"/>
        <rFont val="Times New Roman"/>
        <family val="1"/>
        <charset val="204"/>
      </rPr>
      <t>1. Радиотелефоны-13,50;                                                                                                                                                                                                                                             2. Стеллажи металлические - 40,30;                                                                                                                                                                                          3. Архивные короба- 102,9.</t>
    </r>
    <r>
      <rPr>
        <i/>
        <sz val="14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</si>
  <si>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- 1069,7: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ДК им. Гагарина:                                                                                                                                                                                                                                      1.Концерт «День храбрости, доблести силы» - 10,0 (фольгир. звезда, шар-цифра, камуфляж, шарики,мыльн.пузыри, хлопушки, баннер);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Тетрализов.игровая программ народные гуляния «Масленичные заигрыши»  — 15,25 (лента атласная, подклад. ткань, жаккард, булки сдобные, батарейки, салфетки, фетр, леска);                                                                                                                                                   3. Конкурсная программа «На балу у Золушки»  — 20,0 (маркеры,фанера,краска, цветы иск., баннеры);                                                                                        4. Празднование концерта «А март-это песня, март- это сказка» посвящ. м/унар. ж.дн.  — 7,0;                                                                                              5. 9 мая — 113,65;                                                                                                                                                                                                                                       6. День защиты детей-24,6;                                                                                                                                                                                                                                                                7. День защиты детей - 4,26;                                                                                                                                                                                                         8. День ВМФ - 10,0.                                                                                                                                                                                                                                                                       9. Тетрализ.програм.д/детей "Посвящ. в первоклассники"- 14,98;                                                                                                                                                                                       10. Ёлка главы- 38,75;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Новогодний бал д/старшего поколения - 30,00;                                                                                                                                                                                                     12. Ёлка главы-93,97;                                                                                                                                                                                                                                                       13. Ёлка желаний - 35,00;                                                                                                                                                                                                                                                       14. Новогодние утренники - 102,66;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Ост-к: 10,02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</si>
  <si>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сфере развития и гармонизации межнациональных отношений - 566,7: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        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    1. Чыл Пазы «Игры мудрого зайца» — 10,50 (баннер);                                                                                                                                                            2.Чыл Пазы  — 49,69 (оформление, призы, трансп.расходы);                                                                                                                                                                             3. Праздник "Про деревню" (оформл., нагр.)-121,0;                                                                                                                                                                                          4.Уртун Тойы-128,33;                                                                                                                                                                                                                                                       5.Конкурс Алып-10,31;                                                                                                                                                                                                                                  6.Фестиваль нац.пестни-25,0.                                                                                                                                                                                                                                                           ДК им.Гагарина:                                                                                                                                                                                                                                                          1. Чыл Пазы  — 35,90 (мех иск., габардин, шитье орнамент, ленты, канат, 2 баннера);                                                                                                                             2. На проведение тетрализ. программы Чыл Пазы  — 14,00 (Баннера-4 шт.):                                                                                                                                                      3.Уртун Тойы-25,97;                                                                                                                                                                                                                                            4. Мероприятие "Игровой переполох"- 95,00.                                                                                                                                                                                                                                                                  ЦБС: 1.Книжный фонд - 30,0.                                                                                                                                                                                                                        Салбык: 1. Мастер-класс "Музейные уроки" (мед натур, черемуха, талган, стакан одн, масло слив.)-15,00.                                                                                                  Д/с "Радуга": 1. Олимпиада «Тигiр хуры» (Радуга)-6,0.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</si>
  <si>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2.Обеспечение деятельности подведомственных учреждений - 23362,7, </t>
    </r>
    <r>
      <rPr>
        <sz val="14"/>
        <rFont val="Times New Roman"/>
        <family val="1"/>
        <charset val="204"/>
      </rPr>
      <t xml:space="preserve">в том числе: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—17006,24;                                                                                                                                                                                           2. Начисления на выплаты по оплате труда (ст.213) - 5317,12;                                                                                                                                                                                              3. Услуги связи (ст.221) — 77,8;                                                                                                                                                                                                                 4. Услуги по содержанию имущества (ст.225) —133,57;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Прочие работы, услуги (ст.226) —383,72;                                                                                                                                                                                                                                  6.Страхование автомобиля (ст.227) — 8,42;                                                                                                                                                                                                      7. Увеличение стоимости  ГСМ (ст.343) —297,1;                                                                                                                                                                                                         8. Увеличение стоимости прочих оборотных запасов (материалов) (ст.346) — 5,76 (канц. товары);                                                                                                                                   9.Прочие расходы(ст.290)- 5,5;                                                                                                                                                                         10.Больничные листы(ст266) - 44,43;                                                                                                                                                                                                                     11.Прочие расходы (ст.297)-83,04.</t>
    </r>
  </si>
  <si>
    <r>
      <rPr>
        <b/>
        <sz val="14"/>
        <rFont val="Times New Roman"/>
        <family val="1"/>
        <charset val="204"/>
      </rPr>
      <t xml:space="preserve">Региональный проект Республики Хакасия "Спорт-норма жизни" - 85 515,6, из них 14 230,7 (МБ), 57 479,9 (РХ), 13805,0 (ФБ):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зала-74161,6;                                                                                                                                                         2.Строительный контроль -1286,0;                                                                                                                                                                                                 3.Приобретение технологического оборудования - 10068,0.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</si>
  <si>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- 2510,0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Оплата труда - 1236,77;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- 354,88;                                                                                                                                                                   3.Коммунальные услуги-82,62;                                                                                                                                                                                                                                          4.Услуги по содержанию имущества (ст.225) — 0,8 (шиномонтаж — 0,8);                                                                                                                                         5.Увеличение стоимости проч.расходов - 53,10;                                                                                                                                           6.Увеличение стоимости прочих оборотных запасов (ст.346) — 41,24 (канц. и хоз. расх);                                                                                                                                                                   7.Увеличение стоимости ГСМ - 530,41;                                                                                                                                                                       8.Увеличение стоимости основных средств (ст.310) — 7,39;                                                                                                                               9.Налоги, пошлины и сборы (ст. 291) — 69,82 (налог на им-во, трансп. налог);                                                                                                                                                                                                                                                                                                                                                                                                                                                                                                                                                                                                                                                                                                                             10.Прочие расходы-0,07;                                                                                                                                                                                                                               Остаток на счете - 132,9.</t>
    </r>
  </si>
  <si>
    <r>
      <rPr>
        <b/>
        <sz val="14"/>
        <rFont val="Times New Roman"/>
        <family val="1"/>
        <charset val="204"/>
      </rPr>
      <t>Содействие формирования туристической инфраструктуры и материально-технической базы.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1.Развитие музеев под открытым небом, в том числе разработка проектно-сметной документации- 819,0, из них:802,6 (РХ),16,4 (МБ):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^Капитальный ремонт юрт МАУК "Музей "Салбык".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для создания условий формирования туристической инфраструктуры - 1362,7: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^Монтаж электрооборудования МАУК "Музей "Салбык" - 362,9;                                                                                                                                                               ^Уточнение границ объекта культурного наследия федерального значени (Археологические изыскания) - 500,00;                                                                                                                         ^Проведение историко-культурной экспертизы земельного участка для строительства автомобильной дороги - 499,8.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</si>
  <si>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области улучшений условий и охраны труда - 3105,10, из них: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^Проведение производственного контроля - 1646,51;                                                                                                                                                                                                                                     ^Приобретение специальной одежды  - 367,26;                                                                                                                                                                                                              ^Проведение специальной оценки условий труда -184,40;                                                                                                                           ^Проведение обучения по охране труда - 205,20;                                                                                                                                                                                                                      ^Проведение мед. осмотров - 610,80;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- 0,4;                                                                                                         ^Приобретение смывающих и обеззараживающих средств (крем, мыло) -10,17;                                                                                                               ^Обустройство мест отдыха (тонометр) - 2,16;                                                                                                                                                                                                    ^Приобретение аптечек -1,5;                                                                                                                                                                                                         ^Приобретение стендов   - 5,4;                                                                                                                                                                                                          ^Приобретение "Системы охраны труда" - 71,3.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</si>
  <si>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1.3. Субсидии муниципальным казенным предприятиям на финансовое обеспечение затрат, связанных с погашением кредиторской задолженности: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^Погашение кредиторской задолженности МКП «ЖКХ Усть-Абаканского района» - 15910,0;   </t>
    </r>
    <r>
      <rPr>
        <b/>
        <sz val="14"/>
        <rFont val="Times New Roman"/>
        <family val="1"/>
        <charset val="204"/>
      </rPr>
      <t xml:space="preserve">  </t>
    </r>
  </si>
  <si>
    <r>
      <rPr>
        <b/>
        <sz val="14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Проведение районного конкурса "Лучшее предприятие торговли".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</si>
  <si>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- 3323,30,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 Субсидии на выполнения муниципального задания из средств МБ: оплата труда - 2948,6, коммунальные услуги - 146,3, прочие расходы-32,4, приобретение мат.запасов-196,0.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</si>
  <si>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- 3163,1: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Конкурс-выставка «На защите Родины» (игры, наушники)-3,5;                                                                                                                       2.Военно-исторический квест «Заполярье» (спилс-карта У-Абаканского района) - 13,0;                                                                                                                                                  3. Акция «Блокадный хлеб» - 2,4;                                                                                                                                                                                                                4. Гранитные плиты полированные с оформлением, нанесением гравировки — 20,0;                                                                                                                                                          5. Возложение к Могиле неизвестного солдата (гвоздики)— 4,5;                                                                                                                            6.Могила неизвестного солдата (гвоздики, корзина живых цветов) — 11,0;                                                                                                                               7. Подвиг российских воинов, участников СВО 23 февраля (буклеты, блокноты, ручки, баннера) - 50,0;                                                                           8. Мастер-класс «Имбирный пряник» (наборы имб. пряников, декор, кисточка кондитерская, глазурь)- 5,1;                                                                          9. Конкурс -выставка «Самым любимым и милым» к м/народным женскому дню (раскраски, гравюра, торт.)- 10,5;                                                                                                                                                                                                                10. Российский фотоконкурс «Ты мой герой» - 2,1.                                                                                                                                                             11. Фейерверк в честь 9 мая —500,00;                                                                                                                                                                                                                                      12. Инсталляция «Звездный коридор»  — 220,00;                                                                                                                                                                               13. Плита мраморная (10 шт) —32,66;                                                                                                                                                                                                                                                                   14. Солдатская (перловая) каша на 9 мая —8,85;                                                                                                                                                                                                        15 Митинг «дня памяти и скорби» венки, цв. —25,0;                                                                                                                                                         16. Возложение к могиле неизв солдата (самокл.фотобум) —2,0;                                                                                                                                                                               17. Венок из ж. цв. , гвоздики (9 мая) —22,0;                                                                                                                                                                                                                                                                    18. Баннера (9 мая) —22,00;                                                                                                                                                                                                 20. Награждение за рисунки в конкурсе «Мы победили» —5,4;                                                                                                                           </t>
    </r>
  </si>
  <si>
    <r>
      <t xml:space="preserve">Сохранение культурных ценностей:
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- 4759,9,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—2543,07 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- 703,43;                                                                                                                                                                                 3. Услуги связи (ст. 221) —45,14;                                                                                                                                                                                                     4.Коммунальные услуги (ст.223) —259,79 ;                                                                                                                                                                                  5. Услуги по содержанию имущества (ст.225) — 133,51;                          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— 220,10;                                                                                                                                               7.Увеличение стоимости прочих оборотных запасов (материалов)(ст.346)  - 250,03(хоз.товары, канц.товары);                                                                   8. Увеличение стоимости ГСМ (ст.343) — 144,55;                                                                                                                                                              9.Страхование (ст.227) - 19,1;                                                                                                                                                                                                                                 10. Увелич-е ст-ти строит мат-ов (ст. 344)  — 28,5;                                                                                                                                                                        11. Увелич-е ст-ти ОС (ст 310)  — 41,79;                                                                                                                                                                                                                                  12. Прочие расходы (ст. 297)— 0,13;                                                                                                                                                                                           13.Пособие по врем.нетрудоспособности(ст.266) - 4,37;                                                                                                                                                          14.Медикаменты (ст.341) - 1,13;                                                                                                                                                                               15.Налоги -193,94;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на счете — 171,32.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</si>
  <si>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(МБУК «Усть-Абаканская ЦБС») - 35784,2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- 24231,26 ;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- 6638,19 ;                                                                                                                                         3. Услуги связи - 211,86(ст.221)  ;                                                                                                                                                                                                                          4. Коммунальные услуги (ст.223) - 1153,74 ;                                                                                                                                                                                                        5. Услуги по содержанию имущества (ст.225) - 277,03 (тех.обслуж.пож.сигн., приборов учета тепловой энергии, электротех.обслуж.);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- 296,9 (услуги по охране);                                                                                                                                                 7.Увеличение стоимости прочих оборотных запасов (материалов)(ст.346) - 266,5 (хоз.товары);                                                                                        8. Увеличение стоимости основных средств (ст.310) - 327,64;                                                                                                                                                     9. Увеличение стоимости ГСМ (ст.343)-59,42;                                                                                                                                                                           10. Увеличение стоимости строит.материалов (ст.344) - 24,75;                                                                                                                                                             11. Увеличение стоимости прочих материальных запасов однократного применения (ст. 349)-9,1                                                                                                                                                                     12.Пособие по врем.нутруд(ст266)- 107,79;                                                                                                                                                                                         13. Прочие расходы (ст.297) -1,72;                                                                                                                                                                                           14.Остатки на счете -2178,30.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</si>
  <si>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t xml:space="preserve">ДК Гагарина:                                                                                                                                                                                                                                                                    1.Лыжня России  — 1,53 (баннер);                                                                                                                                                                                                            2..Конкурс «Буду Родине служить»  — 19,0 (пленка д/ламинир., пилотки, батарейки, ватман, бумага гофр, лента);                                               3.ДК им.Гагарина — 4,75 (лента, жаккард, подар. ткань);                                                                                                                                                                         4. Концерт «День храбрости, доблести, силы - 9,74 (баннер);                                                                                                                     5.Конкурс Дни д/детей «8 марта- праздник мамы»  — 9,94;                                                                                                                                                                                                                                             6. Мастер-класс «Стринг-арт» д/молодежи   - 3,6 (доска, гвоздь, нитки, морилка, фотобумага, коврик д/резки);                                                       7. Мероприятие, посвящ. Дню работников бытового обслуж. населения ЖКХ - 43,83 (подарки);                                                                                                                                                                                                          8. Видеонаблюдение — 180,03;                                                                                                                                                                                                           9. Ремонт узла учета тепловой энергии— 138,00;                                                                                                                                                                  10. Участие в фестивале конкурсе танца Новосибирск (билеты, командир, )—45,67;                                                                                                   11. День муниципального служащего —129,10;                                                                                                                                                                                       12. Мероприятие «Вперед к успеху» (выпускной)—15,81;                                                                                                                                                 13. 50-летие Доможаковской КДЦ (конф, цв. Торт) — 16,84;                                                                                                                                                    14. День смеха (концерно-игр. Программа)—6,0;                                                                                                                                                          15.  Концерт на звание народного хора ветеранов—11,3;                                                                                                                                              16. развлекательная программа «С любовью к людям»—10,56;                                                                                                                                                        17. 60-летие Военкомата—10,39;                                                                                                                                                                                                                          18. Концерт на звание «Образцовый» вокальной студии «Провинция»—7,28;                                                                                                                                19. День медика— 73,51;                                                                                                                                                                                                                                     20. День грома—2,5;                                                                                                                                                                                                                                                                                                    21. День космонавтики—5,0.                                                                                                                                                                                                                                                                                                                                                                                                                                                                                                                                                                                           22. Текущий ремонт здания ДК- 751,26;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Концерт к Дню выборов (баннер, батарейки)- 2,78;                                                                                                                                                     24. Монтаж противопожарных дверей — 70,25;                                                                                                                                        25.Огнезащ.обработка,испыт.ограж.кровли,замок анти паника — 142,64.                                                                                                                                                              26. День учителя— 46,42;                                                                                                                                                                                                                     27. Участие в международном конкурсе  "Радуга" г. Барнаул - 25,44;                                                                                                                                                                                       28. Открытие творч. сезона - 14,99;                                                                                                                                                                                                     29.Сельхоз. ярмарка - 48,40;                                                                                                                                                                                                                             30. Республиканский конкурс "Родные напевы" - 10,00;                                                                                                                                                                                                            31. Вручение паспортов - 12,28;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</si>
  <si>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 xml:space="preserve">2. Мероприятия по поддержке и развитию культуры, искусства и архивного дела - 3699,5,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литературного творчества среди граждан старшего поколения «Сказка внукам» - 1,5 (призы);                                                                 2. V районный конкурс народного творчества «Пою моё отечество»  (баннер, крона, креп-атлас щит, индик, скотч)- 27,08;                                                                                                                                                                                                                                                               3.Районное праздничное мероприятие «Для Вас любимые» - 10,0 (комп. из цветов);                                                                                                   4. День работника ЖКХ — 35,78 (оформление, награждение);                                                                                                                                                                    5. Замена э/оборуд. — 384,43;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Мероприятие «Жизнь культуре посвящается»  —34,9;                                                                                                                                                                       7. Мероприятие «Жизнь культуре посвящается»  — 8,1;                                                                                                                                                              8. (9 мая) баннер — 9,84;                                                                                                                                                                                                                                                    9. День российского предпринимательства —4,31.                                                                                                                                                                               10. 9 мая —150,00;                                                                                                                                                                                                                                                 11. 50-ти летний Юбилей Доможаковской КДЦ —4,0;                                                                                                                                                                    12. Клубное формир. «Возраст делу не помеха» —7,0;                                                                                                                                                                    13. Конкурс «Звонкое чудо-частушка» — 3,0;                                                                                                                                                            14. Выставка «Нам жить и помнить»—6,65;                                                                                                                                                                                   15. Районный конкурс детского худ. чтения — 6,96;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 Беспроводной микрофон  —37,52;                                                                                                                                                                                               17. День физкультурника — 4,42;                                                                                                                                                                                                                                          18. День семьи любви и верности — 9,93;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</si>
  <si>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- 6852,8,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 (из средств МБ) - оплата труда-6597,4; услуги по содержанию имущества-6,5, прочие услуги-5,4, увеличение стоимости основных средств-188,6, увеличение стоимости материальных запасов-54,9.</t>
    </r>
  </si>
  <si>
    <r>
      <rPr>
        <b/>
        <i/>
        <sz val="14"/>
        <rFont val="Times New Roman"/>
        <family val="1"/>
        <charset val="204"/>
      </rPr>
      <t xml:space="preserve">4.Создание условия для обеспечения современного качества образования - 627,2,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^Планировка территории Усть-Абаканская ДШИ (для строительства нового здания)-566,2;                                                                                      ^Испыт.пож.лестниц ЦДО-8,5;                                                                                                                                                                                                                                         ^Вершина -50,0;                                                                                                                                                                                                                                                    ^Обучение по пожарной безопасности ЦДО - 2,5.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</si>
  <si>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t xml:space="preserve">3.Реализация мероприятий по развитию общеобразовательных организаций -20,41,                                                                                                       </t>
    </r>
    <r>
      <rPr>
        <sz val="14"/>
        <rFont val="Times New Roman"/>
        <family val="1"/>
        <charset val="204"/>
      </rPr>
      <t>^Приобретение уч.мебели Доможаковская СОШ-5,2;                                                                                                                                                                                                ^ Ремонт каб. Доможаковская СОШ-15,21</t>
    </r>
  </si>
  <si>
    <r>
      <rPr>
        <b/>
        <i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- 12601,57, из них:  12349,54(РХ), 252,03(МБ)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Кап.ремонт помещений: Доможаковская СОШ, У-Бюрская СОШ, У-А СОШ; 2. Монтаж входных калиток: Красноозерная ООШ, Сапоговская СОШ, У-А СОШ, Райковская СОШ, Солнечная СОШ, Доможаковская СОШ, Расцветская СОШ, Опытненская СОШ, ОШИ, Чарковская СОШИ, Росток, Весенненская СОШ, В-Биджинская СОШ, У-Бюрская СОШ, Калининская СОШ, Московская СОШ, Чапаевская СОШ.  </t>
    </r>
  </si>
  <si>
    <t>26. Приобретение орг.техники: Калининская СОШ-70,0, Сапоговская СОШ-140,0, Московская СОШ-239,96, Доможаковская СОШ-50,0, Росток-70,0, Райковская СОШ-70,0, У-А СОШ-1202,44, Весенненская СОШ-70,0, Красноозерная ООШ-70,0, Солнечная СОШ-70,0;                                                                                                                                                                                                                                                    27. Приобретение мебели в группу д/с: Весенненская СОШ-199,87, Красноозерная ООШ-82,2;                                                                28. ПСД на АУПС: У-А СОШ-383,88, Весенненская СОШ-15,0, ОШИ-300,0;                                                                                                                                                                                     29. Монтаж, дооборуд. АУПС: Опытненская СОШ-1145,16, Московская СОШ-1069,98, Чарковская СОШИ-328,37,                      У-А СОШ-2,99, У-Бюрская СОШ-58,48, В-Биджинская СОШ-83,63;                                                                                                                                                                     30. Замена окон, дверей: Чапаевская СОШ-252,63 (сад), Весенненская СОШ-500,0 (сад), Опытненская СОШ-114,13, У-А СОШ-120,04, В-Биджинская СОШ-92,50;                                                                                                                                                                             31.Проведение ГИА-29,7;                                                                                                                                                                                                                        32.Установка пож.дверей, люков: У-А СОШ-44,0, Опытненская СОШ-94,0;                                                                                                                   33.Приобретение жалюзи: У-А СОШ-24,12, Сапоговская СОШ-21,0;                                                                                                                                                                    34.Испытание пожарных кранов и лестниц,огражд.кровли: ОШИ-2,0, Росток-30,0, В-Биджинская СОШ-10,0, Весенненская СОШ-15,70;                                                                                                                                                                                                                                     35. Проведение конкурсов: "Про100лидеры"-17,0, "Педагог дошкольного образования" -24,55, "Учитель года"-25,0, "Августовская конференция"-38,5 , "День дошкольного работника"-45,0 , "День учителя"-65,83, "Рождественские чтения"-5,0, "Победители"-19,96, "Педагогический дуэт"-4,5.</t>
  </si>
  <si>
    <r>
      <t>Обеспечение деятельности органов местного самоуправления - 15212,8, в том числе: 11017,6 (МБ), 4195,2 (РХ),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- 10822,6,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 6546,3;                                                                                                                                                                                                                                                                       2.Социальное пособие - 109,7;                                                                                                                                                                                                                                                                                             3.Выходное пособие - 128,5;                                                                                                                                                                                            4.Начисления на выплаты по оплате труда – 2033,7;                                                                                                                                                                         5.Услуги связи – 114,6;                                                                                                                                                                                           6.Коммунальные услуги - 64,6 ;                                                                                                                                                                                                                7.Работы, услуги по содержанию имущества –126,8;                                                                                                                                                                      8.Страхование -3,2 ;                                                                                                                                                                                               9.Увеличение стоимости основных средств -4,5;                                                                                                                                                    10.Увеличение стоимости материальных запасов –247,1;                                                                                                                                                         11.Прочие расходы –1426,6;                                                                                                                                                                                                                                                                       12.Налог на имущество-11,9;                                                                                                                                                                                            13.Транспортный налог-5,1.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</si>
  <si>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комплексного развития сельских территорий в части реализации мероприятий, связанных со строительством жилого помещения(жилого дома),предоставляемого гражданам по договорам найма жилого помещения (в том числе софинансирование с республиканским бюджетом) - 3268,2 в том числе: 2296,0 (МБ),   9,8 (РХ), 962,4 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 строительство жилого дома в аал Чарков - 3173,5;                                                                                                                                                                      ^ стройконтроль-94,7.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</si>
  <si>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Включение детей и молодежи в общественную деятельность патриотической направленности.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Мероприятия, направленные на патриотическое воспитание граждан - 259,20, </t>
    </r>
    <r>
      <rPr>
        <i/>
        <sz val="14"/>
        <rFont val="Times New Roman"/>
        <family val="1"/>
        <charset val="204"/>
      </rPr>
      <t xml:space="preserve">из них: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1."Юный зарничник" - 1,1;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- 1,0;                                                                                                                                                                                                              3."Юнармейцы в юбках" - 15,3;                                                                                                                                                                                                            4. Военно-полевые сборы -25,9;                                                                                                                                                                                                                            5. Награждение за участие в патриот.соревн-33,1;                                                                                                                                                                              6."Она звучит, не умирая"-20,0;                                                                                                                                                                                         7."По следам предков"-7,5;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Зарничка (боевое братство)-8,0;                                                                                                                                                                                                                                      9. Первенство Усть-Абаканского района по рукопашному бою -21,3;                                                                                                                        10.Спартакиада молодежи-67,8;                                                                                                                                                                                  11.Дистанционная олимпиада"Герои ВОВ"-0,5;                                                                                                                                                                                     12. Кейсы "Сыны России"-3,0;                                                                                                                                                                                                                13. Юнармейский форум-36,0;                                                                                                                                                                                                      14. Региональный турнир по борьбе-13,42 (ст.349); турнир по баскетболу-5,28 (ст.349).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</si>
  <si>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3.5"/>
        <rFont val="Times New Roman"/>
        <family val="1"/>
        <charset val="204"/>
      </rPr>
      <t>3. Создание условия для обеспечения современного качества образования - 32317,16,  в том числе:</t>
    </r>
    <r>
      <rPr>
        <b/>
        <sz val="13.5"/>
        <rFont val="Times New Roman"/>
        <family val="1"/>
        <charset val="204"/>
      </rPr>
      <t xml:space="preserve">  </t>
    </r>
    <r>
      <rPr>
        <sz val="13.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1.Ремонт освещения, электрооборудования: Чапаевская СОШ-125,59, Росток-458,30, У-А СОШ-576,6 , Расцветская СОШ-26,99,                                                                     В-Биджинская СОШ-337,19, Весенненская СОШ-95,13, Опытненская СОШ-38,93, Чарковская СОШ-592,01;                                                                                                                                                                                                                                                      2.Обучение пож-тех минимум: Росток-2,5, Сапоговская СОШ-5,0, В-Биджинская СОШ-5,0, У-А СОШ-10,0, Доможаковская СОШ-5,0, Опытненская СОШ-5,0, Расцветская СОШ-5,0;                                                                                                                                                                           3.Обучение кочегаров: Чапаевская СОШ-9,6, Райковская СОШ-7,5;                                                                                                                                                                                    4.Санитарная безопасность:  приобретение оборудования и инвентаря для медицинских кабинетов: Московская СОШ-41,8, Весенненская СОШ-12,2;                                                                                                                                                                                                        5.Санитарная безопасность: приобретение оборудования и инвентаря для пищеблоков: Сапоговская СОШ-136,0, Опытненская СОШ-93,0, Росток-89,0, Красноозерная ООШ-18,0;                                                                                                                              6.Приобретение школьной мебели: Доможаковская СОШ-23,05, У-Бюрская СОШ-70,0, Чарковская СОШИ-599,99 (интернат), Сапоговская СОШ-58,0, У-А СОШ-282,39, Красноозерная ООШ-45,85;                                                                                                                                           7.Ремонт канализации, ХВС: Чарковская СОШИ-575,13, Весенненская СОШ-585,97, У-А СОШ-941,64;                                                                                           8.Ремонт отопления: Опытненская СОШ-2009,35, Сапоговская СОШ-286,73, Московская СОШ-501,13, Калининская СОШ-78,81, Чапаевская СОШ-106,15, Чарковская СОШ-99,98;                                                                                                                                                                                                                                                                                                                                                                                                                  9.Приобретение расширит.бака: Сапоговская СОШ-47,04;                                                                                                                                                               10.Приобретение игр.оборуд.на участок: У-Бюрская СОШ-200,0 ;                                                                                                                                 11.Приобретение огнетушителей: Калининская СОШ-5,4;                                                                                                                                                        12.Ремонт крылец: У-А СОШ-549,28;</t>
    </r>
  </si>
  <si>
    <r>
      <rPr>
        <b/>
        <sz val="14"/>
        <rFont val="Times New Roman"/>
        <family val="1"/>
        <charset val="204"/>
      </rPr>
      <t>Обеспечение условий развития сферы образования: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- 12124,78</t>
    </r>
    <r>
      <rPr>
        <i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из них: оплата труда-10768,90 услуги связи-61,62,транспортные услуги-3,0;услуги по содержанию имущества-333,25; прочие услуги- 435,48, прочие расходы-7,21, приобретение мат.запасов-194,52, приобретение основных средств-320,8.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</si>
  <si>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деятельности подведомственных учреждений (Центр поддержки одаренных детей, Центр поддержки детей с ограниченными возможностями) - 1037,10, </t>
    </r>
    <r>
      <rPr>
        <sz val="14"/>
        <rFont val="Times New Roman"/>
        <family val="1"/>
        <charset val="204"/>
      </rPr>
      <t>из них: оплата труда-600,9, услуги связи-1,33, услуги по сод.имущества-91,06, прочие услуги- 29,8, приобретение основных средств-308,2; приобретение мат.запасов-5,81.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</si>
  <si>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- 32323,82,</t>
    </r>
    <r>
      <rPr>
        <sz val="14"/>
        <rFont val="Times New Roman"/>
        <family val="1"/>
        <charset val="204"/>
      </rPr>
      <t xml:space="preserve"> из них: оплата труда-28540,41, услуги связи-114,57, транспортные услуги-6,7;коммунальные услуги-529,71,услуги по сод.имущества- 1096,44, прочие услуги-1301,77, прочие расходы-8,96; приобретение основных средств-185,40;  приобретение мат.запасов-539,86.</t>
    </r>
  </si>
  <si>
    <r>
      <t xml:space="preserve">Региональный проект Республики Хакасия "Современная школа"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1.Оснащение образовательных организаций оборудованием, средствами обучения и воспитания - 4434,6, из них: 4346,35 (ФБ); 43,90(РХ); 44,35 (МБ):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Приобретение орг.техники для каб. точка роста (МБОУ "Калининская СОШ"-2217,30, МБОУ "Красноозерная ООШ"-2217,30)</t>
    </r>
  </si>
  <si>
    <r>
      <t>Региональный проект Республики Хакасия «Патриотическое воспитание граждан Российской Федерации»                                                                                                   1.</t>
    </r>
    <r>
      <rPr>
        <b/>
        <i/>
        <sz val="14"/>
        <rFont val="Times New Roman"/>
        <family val="1"/>
        <charset val="204"/>
      </rPr>
      <t xml:space="preserve">Обеспечение оснащения общеобразовательных организаций государственными символами Российской Федерации  - 947,00, из них: 928,14 (ФБ); 9,38 (РХ); 9,48 (МБ)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^ Приобретение флагов и гербов: МБОУ "Сапоговская СОШ"-94,7, МБОУ "Опытненская СОШ"-94,7, МБОУ "Чапаевская СОШ"-94,7, МБОУ "Усть-Абаканская СОШ им. М.Е. Орлова"-284,1, МБОУ "Райковская СОШ им. Н.И. Носова"-94,7,      МБОУ "Доможаковская СОШ им. Н.Г. Доможакова"-94,7, МБОУ "Калининская СОШ"-94,7, МБОУ "Расцветская СОШ"-94,7.</t>
    </r>
  </si>
  <si>
    <r>
      <rPr>
        <b/>
        <sz val="14"/>
        <rFont val="Times New Roman"/>
        <family val="1"/>
        <charset val="204"/>
      </rPr>
      <t>Мероприятия в сфере поддержки малого и среднего предпринимательства - 3169,6, в том числе:                                                               1703,2 (МБ), 1466,4 (РХ), из них: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Проведение районного конкурса "Предприниматель 2022 года"- 173,2;                                                                                      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 субъектам молодежного предпринимательства - 1496,4, из них 1466,4 (РХ), 30,0 (МБ);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-  1500,00.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</si>
  <si>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- 158940,87,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Расходы на выполнения муниципального задания из средств районного бюджета: оплата труда - 55647,13, услуги связи-248,47, транспортные услуги-2901,44, коммунальные услуги-53065,86, аренда-197,69, услуги по сод.имущества-12427,58; прочие услуги-5193,37, прочие расходы-11584,88, приобретение основных средств-770,17, приобретение мат.запасов-16904,28.</t>
    </r>
  </si>
  <si>
    <r>
      <rPr>
        <b/>
        <i/>
        <sz val="14"/>
        <rFont val="Times New Roman"/>
        <family val="1"/>
        <charset val="204"/>
      </rPr>
      <t xml:space="preserve">2.Капитальный ремонт в муниципальных учреждениях, в том числе проектно-сметная документация - 3753,40 (РХ), 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</t>
    </r>
    <r>
      <rPr>
        <sz val="14"/>
        <rFont val="Times New Roman"/>
        <family val="1"/>
        <charset val="204"/>
      </rPr>
      <t xml:space="preserve">^Капитальный ремонт кровли МБУДО "Усть-Абаканская СШ" - 3 329,8;                                                                                                                                                    ^Работы по капитальному ремонту покрытия трибун д/зрителей на стадионе МБУДО "Усть-Абаканская СШ" - 423,6. </t>
    </r>
  </si>
  <si>
    <r>
      <rPr>
        <b/>
        <i/>
        <sz val="14"/>
        <rFont val="Times New Roman"/>
        <family val="1"/>
        <charset val="204"/>
      </rPr>
      <t xml:space="preserve">4. Создание условий для занятий физической культурой и спортом - 601,32, </t>
    </r>
    <r>
      <rPr>
        <sz val="14"/>
        <rFont val="Times New Roman"/>
        <family val="1"/>
        <charset val="204"/>
      </rPr>
      <t xml:space="preserve">в том числе:     </t>
    </r>
    <r>
      <rPr>
        <b/>
        <i/>
        <sz val="14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 xml:space="preserve">1.Зеркала в зал гиревого спорта -24,48;                                                                                                                                                                              2.Резиновые покрытия-352,7;                                                                                                                                                                                                                    3.Заградительные сетки-85,99;                                                                                                                                                                                               4. Мячи волейбольные-94,05;                                                                                                                                                                                                                                          5. Услуги крытой хоккейной площадки-44,1.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</si>
  <si>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Мероприятия в сфере физической культуры и спорта - 148,80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1. Первенство СФО по боксу  г. Междуреченск - 9,5 (проезд, суточные, проживание);                                                                                                                                               2. Участие в респ. зимнем Фестивале ВФСК «ГТО» -8,4;                                                                                                                                                                                                                                     3. Фестиваль для лиц с ограниченными возможностями В-Биджа — 6,5 (кубки, медали);                                                                                                  4. Участие в тур.по хоккею с мячом(гостиница, суточные)-9,05;                                                                                                                                                                   5.Спортивное ориентирование - 16,14 (ком.расходы, суточные);                                                                                                                                                                                   6. Участие в межрегиональном тур-ре по баскетболу-36,53;                                                                                                                                                                                    7. Турнир по хоккею с мячом памяти ЗМС М.М.Лещинского (Абакан-Красноярск (проезд, проживание)-8,30;                                                                                                                                 8. Краевой турнир по боксу в Шарыпово- 9,10;                                                                                                                                                                                                      9. Краевой турник по хоккею с мячом  - "Кубок Енисея"- 11,60;                                                                                                                                                                                   10. Участие в соревнованиях  - 4,21;                                                                                                                                                                                         Ост-к - 29,47.</t>
    </r>
  </si>
  <si>
    <r>
      <rPr>
        <b/>
        <i/>
        <sz val="14"/>
        <rFont val="Times New Roman"/>
        <family val="1"/>
        <charset val="204"/>
      </rPr>
      <t>3.Капитальный ремонт объектов муниципальной собственности- 76,60,</t>
    </r>
    <r>
      <rPr>
        <sz val="14"/>
        <rFont val="Times New Roman"/>
        <family val="1"/>
        <charset val="204"/>
      </rPr>
      <t xml:space="preserve">в том числе: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^Ремонт кровли - 67,95;                                                                                                                                                                                                    ^Ремонт трибун - 8,65. </t>
    </r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</si>
  <si>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11553,02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1. Содержание автомобильных дорог - 616,38, из них: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- 48,83;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района( аал Чарков - аал Ах-Хол-аал Майский; Подъезд к аал Бейка; аал Чарков - аал Уйбат) - 276,74;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- 58,04;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- 65,92;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 ( Подъезд к п. Ильича, аал Доможаков - аал Трояков , аал Райков - аал Баинов ) - 50,83;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- 116,02.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</si>
  <si>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t>2.Осуществление органами местного самоуправления государственных полномочий в области охраны труда -                                   648,6 (РХ).</t>
  </si>
  <si>
    <r>
      <rPr>
        <b/>
        <i/>
        <sz val="14"/>
        <rFont val="Times New Roman"/>
        <family val="1"/>
        <charset val="204"/>
      </rPr>
      <t xml:space="preserve">2.Реализация мероприятий по развитию общеобразовательных организаций (за счет средств целевой безвозмездной помощи)- 2000,00 (РХ)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1.Ремонт каб.: Калининская СОШ-778,33, Красноозерная ООШ-713,99;                                                                                                                                          2. Приобретение уч.мебели: Калининская СОШ-189,73, Красноозерная ООШ-213,53;                                                                                               3. Приобретение табличек: Калининская СОШ-31,94, Красноозерная ООШ-16,01;                                                                                                                                                4. Приобретение жалюзи: Красноозерная ООШ-56,47.</t>
    </r>
  </si>
  <si>
    <r>
      <rPr>
        <b/>
        <i/>
        <sz val="14"/>
        <rFont val="Times New Roman"/>
        <family val="1"/>
        <charset val="204"/>
      </rPr>
      <t xml:space="preserve">3.Реализация мероприятий по развитию общеобразовательных организаций - 40,82: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Ремонт каб.: Калининская СОШ-15,88, Красноозерная ООШ-14,58;                                                                                                                                                           2. Приобретение уч.мебели: Калининская СОШ-3,87, Красноозерная ООШ-4,36;                                                                                                             3. Приобретение табличек: Калининская СОШ-0,65, Красноозерная ООШ-0,33;                                                                                                                                   4. Приобретение жалюзи: Красноозерная ООШ-1,15.</t>
    </r>
  </si>
  <si>
    <t xml:space="preserve">21. Коробка п/конфеты (82 шт) (9 мая) —24,6;                                                                                                                                                                    22. Квест «Наша победа» —8,4;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Продуктовая корзина на 9 мая —17,03;                                                                                                                                                                                                                                                                                                                                 24. Автопробег Дня ВОВ —27,61;                                                                                                                                                                                          25. Фестиваль "Под алым парусом Хакасии"-1299,96;                                                                                                                                                                   26. Квест "Дети войны"-4,9;                                                                                                                                                                                                                                      27. День ВМФ-23,2;                                                                                                                                                                                                                           28.Мероприятия ко Дню окончания II мир. войны- 8,0;                                                                                                                                                                                                            29. Мастер-класс "Декор кухонные лопатки"+"День лошади"-5,21.                                                                                                                                                                                  30. День флага -10,6;                                                                                                                                                                                                                                     31. Квест "История моего поселка"-9,25.                                                                                                                                                                                                                        32. Приобретение шкафов д/музейных экспонатов - 119,42;                                                                                                                                                                 33. Юбилей труж. тыла (цветы) - 9,00;                                                                                                                                                                                                               34. День неизвестного солдата, героев отеч. (корз. живых цв., гвоздики) - 14,00;                                                                                                                                  35. Елка с иголки и "Новогоднее чудо" (подарки)  - 50,25;                                                                                                                                                                           36. Текущий ремонт э/снабж (264,0), системы отопления (258,32)- 522,32;                                                                                                                                 37. Память жертв политич. репрессий - 9,00;                                                                                                                                                                                                    38. Пятнадцатый форум активной молодежи У-Аб-го ра-на - 6,0;                                                                                                                                                           39. Мероприятие ко дню Единства - 5,00;                                                                                                                                                                                     40. Конкурс "Веселый дракончик (сувениры) - 19,30;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</si>
  <si>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41. Районный конкурс-выставка "Поздравь деда мороза" (сувениры) - (10,89-7,45)=3,44;                                                                                                        42.Мероприятие "Подкова на счастье"- 1,5;                                                                                                                                                                                                       43. Мастер-класс "Декор кух. лопатки"-2,5;                                                                                                                                                                                                                                                 44. Память жертв политич. репрессий, зажжение вечн.огня (баллон 2шт. 50 л. газ)а на мемориале "Вечная слава" (митинг) - 2,56; Остаток -  0,04. </t>
  </si>
  <si>
    <t>18. Ростовая кукла-40,00;                                                                                                                                                                                                                                                                19. Участие в междунар. фестивале творч. коллект.-10,6;                                                                                                                                                                                                                   20. Конкурс "Золотые руки наших мастеров"-26,04;                                                                                                                                                                                                                             21. Участ. в респ. конкурсе-4,6;                                                                                                                                                                                                                         22. Выставка-конкурс "Веселое рождество"-13,11;                                                                                                                                                                                                                23. Елка главы (фейерверк, баннер...)-76,6;                                                                                                                                                                                                                                                                           24. Мероприятия "Золотые ворота" - 14,97.</t>
  </si>
  <si>
    <r>
      <t xml:space="preserve">7. Оказание адресной финансовой поддержки спортивным организациям, осуществляющим подготовку спортивного резерва - 510,2, из них  10,2 (МБ), 500,0(РХ).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^Спортинвентарь(табло электронное,гантели,ролики,штанги,перчатки бокс, мешок бокс,прочее) - 510,2.</t>
    </r>
  </si>
  <si>
    <r>
      <rPr>
        <b/>
        <sz val="14"/>
        <rFont val="Times New Roman"/>
        <family val="1"/>
        <charset val="204"/>
      </rPr>
      <t xml:space="preserve">Развитие рынка труда (кадровый потенциал) на сельских территориях - 157,9 (МБ), из них: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^организационный взнос на соревнования сельских конников - 30,0;                                                                                                                                                    ^бочки под мусор-3,9;                                                                                                                                                                                                                                      ^рамочки и грамоты-4,0;                                                                                                                                                                                                                          ^призы в денежной форме по труд.соревнованиям-120,0.                                                                                                                                              </t>
    </r>
  </si>
  <si>
    <r>
      <t xml:space="preserve">Реализация мер по охране окружающей среды- 19228,4 (МБ),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1.Природоохранные мероприятия  - 19228,4 </t>
    </r>
    <r>
      <rPr>
        <i/>
        <sz val="14"/>
        <rFont val="Times New Roman"/>
        <family val="1"/>
        <charset val="204"/>
      </rPr>
      <t>(ликвидация свалок)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</si>
  <si>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- 58750,13 (МБ),</t>
    </r>
    <r>
      <rPr>
        <sz val="14"/>
        <rFont val="Times New Roman"/>
        <family val="1"/>
        <charset val="204"/>
      </rPr>
      <t xml:space="preserve"> из них:                             Расходы на выполнения муниципального задания из средств районного бюджета:                                                                                       оплата труда - 37282,57, услуги связи - 65,93, транспортные услуги - 239,01, коммунальные услуги - 12644,54, услуги по сод. имущества - 2137,95, прочие услуги - 731,41, прочие расходы - 3701,24, приобретение основных средств - 82,67, приобретение мат.запасов - 1864,81.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</si>
  <si>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7967,0</t>
    </r>
    <r>
      <rPr>
        <sz val="14"/>
        <rFont val="Times New Roman"/>
        <family val="1"/>
        <charset val="204"/>
      </rPr>
      <t xml:space="preserve">, в том числе:                                  </t>
    </r>
    <r>
      <rPr>
        <b/>
        <sz val="14"/>
        <rFont val="Times New Roman"/>
        <family val="1"/>
        <charset val="204"/>
      </rPr>
      <t xml:space="preserve">6864,6 (МБ), 11,1 (РХ), 1091,3 (ФБ)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- 3847,6 (МБ),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^тех.присоединение ИЖД а.Чарков - 124,00;                                                                                                                                       ^тех.присоединение ИЖД с.Солнечное - 19,3;                                                                                                                                            ^гос.экспертиза сметной стоимости а.Чарков - 165,3;                                                                                                                                                                ^тех.присоединение а.Доможаков - 19,3;                                                                                                                                                                                                      ^тех.присоединение п.Тепличный  - 120,9;                                                                                                                                                                                 ^ПСД Тепличный - 200,0;                                                                                                                                                                                                     ^экспертиза ПСД а.Доможаков - 182,6;                                                                                                                                                                                      ^ ПСД а.Доможаков - 220,0;                                                                                                                                                                                                             ^ ПСД с.Солнечное - 220,0;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 гос.экспертиза на строит.п.Тепличный-183,4;                                                                                                                                                                                                  ^ гос.экспертиза на строит.с.Солнечное-183,4;                                                                                                                                                                                             ^ тех.присоединение с.В-Биджа-120,9;                                                                                                                                                                                                          ^ тех.присоединение с.Усть-Бюрь-111,8;                                                                                                                                                                                                                                                   ^ гос.эксперт.на строит. с. Усть-Бюр - 742,3;                                                                                                                                                                                                                      ^ ПСД с. Усть-Бюр - 800,0;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</si>
  <si>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t>Выполнено с начала года % (гр.10/гр.6х100)</t>
  </si>
  <si>
    <r>
      <rPr>
        <b/>
        <sz val="15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5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</si>
  <si>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r>
      <rPr>
        <b/>
        <sz val="15"/>
        <rFont val="Times New Roman"/>
        <family val="1"/>
        <charset val="204"/>
      </rPr>
      <t>Мероприятия по повышению безопасности дорожного движения - 0,5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      ^Поощрения(грамоты,призы)-0,5.                                                                                                                                                                               </t>
    </r>
  </si>
  <si>
    <r>
      <t xml:space="preserve">Укрепление безопасности и общественного порядка в Усть-Абаканском районе -1,5 (МБ), </t>
    </r>
    <r>
      <rPr>
        <sz val="15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^Оплата госпошлины для получения паспорта для лиц, находящихся в тяжелой жизненной ситуации - 1,5.</t>
    </r>
  </si>
  <si>
    <r>
      <rPr>
        <b/>
        <sz val="15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Проведение районного конкурса "Лучшее предприятие торговли" запланировано на 4 квартал 2024 года.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</si>
  <si>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t xml:space="preserve">Выдано 2 Свидетельства о праве на получение социальной выплаты на приобретение жилого помещения или создание объекта индивидуального строительства, на общую сумму 4 273 731,00 руб. В 1 квартале 2024 оплачено 1 свидетельства  о праве на получение социальной выплаты на приобретение жилого помещения или создание объекта индивидуального строительства на сумму 1 714 608,00 руб. </t>
  </si>
  <si>
    <t xml:space="preserve"> о реализации муниципальных программ, действующих на территории Усть-Абаканского района Республики Хакасия за 1 полугодие 2024 год.</t>
  </si>
  <si>
    <r>
      <rPr>
        <b/>
        <sz val="15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- 59127,0 (РХ)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- 59127,0.                                                                    </t>
    </r>
  </si>
  <si>
    <r>
      <rPr>
        <b/>
        <sz val="15"/>
        <rFont val="Times New Roman"/>
        <family val="1"/>
        <charset val="204"/>
      </rPr>
      <t>1. Осуществление муниципальных функций в финансовой сфере - 9827,9 (МБ), в том числе: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 xml:space="preserve">Обеспечение деятельности УФиЭ, в том числе:  заработная плата – 7314,3; начисления на выплаты по оплате труда – 1736,9; пособие по врем.нетрудоспособности-17,5; услуги связи- 74,5; работы, услуги по содержанию имущества – 25,1; прочие работы, услуги -519,9; страхование-5,1; ГСМ-68,9; увеличение стоимости материальных запасов – 65,3; налоги-0,4.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</si>
  <si>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3. Реализация государственной политики в сфере государственных закупок - 5165,8 (МБ),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5"/>
        <rFont val="Times New Roman"/>
        <family val="1"/>
        <charset val="204"/>
      </rPr>
      <t>^</t>
    </r>
    <r>
      <rPr>
        <sz val="15"/>
        <rFont val="Times New Roman"/>
        <family val="1"/>
        <charset val="204"/>
      </rPr>
      <t>Обеспечение деятельности МКУ "Усть-Абаканская районная правовая служба", в том числе:заработная плата - 4108,2; социальные пособия и компенсации -7,8; начисления на выплаты по оплате труда – 928,8; услуги связи – 32,2;  прочие работы, услуги – 15,6; увеличение стоимости материальных запасов – 38,4; увеличение стоимости основных средств – 8,8; ГСМ-24,3; техосмотр-1,5; налоги - 0,2.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</si>
  <si>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- 396,2 (РХ).    </t>
  </si>
  <si>
    <r>
      <rPr>
        <b/>
        <sz val="15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- 805,4 (РХ),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- 394,2 (РХ)      </t>
    </r>
  </si>
  <si>
    <r>
      <rPr>
        <b/>
        <sz val="15"/>
        <rFont val="Times New Roman"/>
        <family val="1"/>
        <charset val="204"/>
      </rPr>
      <t>Мероприятия по профилактике злоупотребления наркотиками и их незаконного оборота - 6,0 (МБ), из них</t>
    </r>
    <r>
      <rPr>
        <sz val="15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«Жизнь без наркотиков» - 5,0 (буклеты,баннеры);                                                                                                                     ^Районная антинаркотическая акция «Здоровая Россия-Общее дело» - 1,0 (буклеты, фотобумага).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</si>
  <si>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Мероприятия в сфере поддержки малого и среднего предпринимательства -112,0 (МБ), в том числе: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^Проведение районного конкурса "Предприниматель 2023 года"- 112,0.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</si>
  <si>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1.Поддержка и развитие систем коммунальной инфраструктуры: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1.1. Поддержка и развитие систем коммунального комплекса в муниципальных образованиях Республики Хакасия - 219,5 (МБ):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^Поставка блочно-модульной котельной с установкой в с. Солнечное - 219,5.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</si>
  <si>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- 8406,2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заработная плата - 6130,7; социальные пособия и компенсации персоналу - 17,6 ;прочие выплаты - 0,4 начисления на выплаты по оплате труда - 1462,9 ; услуги связи - 57,3; коммунальные услуги- 183,0; услуги по содержанию имущества -41,5 ; прочие работы, услуги - 390,3; увеличение стоимости ГСМ -52,0 ; увеличение стоимости мат.запасов - 67,5; увеличение стоимости мягкого инвентаря - 1,8; закупка товаров, работ, услуг в сфере информационно-коммуникационных технологий - 0,4; прочие налоги и сборы -0,8.</t>
    </r>
  </si>
  <si>
    <t>2.Осуществление органами местного самоуправления государственных полномочий в области охраны труда - 313,3 (РХ).</t>
  </si>
  <si>
    <t>2.  Экспертиза сметной стоимости (субсидия РБ) - 352,3.</t>
  </si>
  <si>
    <r>
      <t>1.Мероприятия по обеспечению сохранности существующей сети автомобильных дорог общего пользования местного значения - 2578,1 (МБ)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1. Содержание автомобильных дорог - 1621,8, из них: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Усть-Абаканского района Республики Хакасия- 185,5 (Чарковский с/с -15,0, Усть-Бюрский с/с - 170,5);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(аал Чарков - аал Ах-Хол-аал Майский; Подъезд к аал Бейка; аал Чарков- аал Уйбат) -1437,0;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-227,3;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- 321,0 (В-Биджинский с/с - 167,3, Московский с/с - 153,7);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(Подъезд к п. Ильича, аал Доможаков - аал Трояков, аал Райков-аал Баинов) - 299,1;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сельсовет - 108,2.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</si>
  <si>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 xml:space="preserve">Мероприятия по профилактике терроризма и экстремизма - 1,1 (МБ), из них: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Изготовление  памяток с тематикой  по профилактике террористической и экстремистской деятельности </t>
    </r>
  </si>
  <si>
    <r>
      <rPr>
        <b/>
        <sz val="15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- 64,0 (МБ)</t>
    </r>
    <r>
      <rPr>
        <sz val="15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участков- 64,0.</t>
    </r>
  </si>
  <si>
    <r>
      <rPr>
        <b/>
        <sz val="15"/>
        <rFont val="Times New Roman"/>
        <family val="1"/>
        <charset val="204"/>
      </rPr>
      <t>3.Мероприятия в сфере развития земельно-имущественных отношений - 117,0 (МБ)</t>
    </r>
    <r>
      <rPr>
        <sz val="15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- 117,0;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</si>
  <si>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>5.Обеспечение обслуживания, содержания и распоряжения муниципальной собственностью - 169,9 (МБ)</t>
    </r>
    <r>
      <rPr>
        <sz val="15"/>
        <rFont val="Times New Roman"/>
        <family val="1"/>
        <charset val="204"/>
      </rPr>
      <t>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- 79,7;                                                                                                                                                                    ^Охрана муниципального имущества - 17,0.                                                                                                                                                                                                               ^Транспортный налог-5,9;                                                                                                                                                                                                                                                          ^Коммунальные расходы-2,2;                                                                                                                                                                                                           ^Оценка муниципального имущества-20,0;                                                                                                                                                                                                                                                                ^Опашка земельных участков-45,1.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</si>
  <si>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1.Обеспечение деятельности УИО - 12370,8 (МБ)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1.Заработная плата - 7449,7;                                                                                                                                                                       2.Начисления на выплаты по оплате труда - 1871,8;                                                                                                                                                                3.Услуги связи -119,5;                                                                                                                                                                                              4.Работы, услуги по содержанию имущества - 145,9 ;                                                                                                                                                                                5.Прочие работы, услуги - 442,6;                                                                                                                                                                                                                                                                                                                                           6.Приобретение ГСМ - 259,4;                                                                                                                                                                         7.Приобретение материальных запасов-96,9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8.Коммунальные расходы- 388,2;                                                                                                                                                                                      9.Командировочные расходы - 69,0;                                                                                                                                                               10.Налоги-1527,8.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</si>
  <si>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 xml:space="preserve">4.Подготовка документов территориального планирования и правил землепользования и застройки-723,3 (РХ),  в том числе: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^Кредиторская задолженность на 2023год: научно-исследовательские работы по разработке СТП Усть-Абаканского района РХ-723,3</t>
    </r>
  </si>
  <si>
    <r>
      <rPr>
        <b/>
        <i/>
        <sz val="15"/>
        <rFont val="Times New Roman"/>
        <family val="1"/>
        <charset val="204"/>
      </rPr>
      <t>2.Содержание объекта по утилизации биологических отходов - 98,2 (МБ)</t>
    </r>
    <r>
      <rPr>
        <sz val="15"/>
        <rFont val="Times New Roman"/>
        <family val="1"/>
        <charset val="204"/>
      </rPr>
      <t xml:space="preserve">, в том числе :                                                                                            ^оплата за охрану и содержание объекта по договору.  </t>
    </r>
  </si>
  <si>
    <r>
      <t xml:space="preserve">Реализация мер по охране окружающей среды- 7909,8 (МБ),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1.Природоохранные мероприятия  - 7909,8 </t>
    </r>
    <r>
      <rPr>
        <i/>
        <sz val="15"/>
        <rFont val="Times New Roman"/>
        <family val="1"/>
        <charset val="204"/>
      </rPr>
      <t>(ликвидация свалок)</t>
    </r>
  </si>
  <si>
    <r>
      <t xml:space="preserve">2.Обеспечение комплексного развития сельских территорий (строительство (приобретение) жилья гражданами, которым предоставлены целевые социальные выплаты)(в том числе софинансирование с республиканским бюджетом)- 929,4, </t>
    </r>
    <r>
      <rPr>
        <sz val="15"/>
        <rFont val="Times New Roman"/>
        <family val="1"/>
        <charset val="204"/>
      </rPr>
      <t xml:space="preserve">в том числе: </t>
    </r>
    <r>
      <rPr>
        <b/>
        <sz val="15"/>
        <rFont val="Times New Roman"/>
        <family val="1"/>
        <charset val="204"/>
      </rPr>
      <t xml:space="preserve">721,0 </t>
    </r>
    <r>
      <rPr>
        <b/>
        <i/>
        <sz val="15"/>
        <rFont val="Times New Roman"/>
        <family val="1"/>
        <charset val="204"/>
      </rPr>
      <t>(МБ), 2,2 (РХ), 206,2 (ФБ)</t>
    </r>
    <r>
      <rPr>
        <sz val="15"/>
        <rFont val="Times New Roman"/>
        <family val="1"/>
        <charset val="204"/>
      </rPr>
      <t xml:space="preserve"> из них: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Получен сертификат на покупку жилья (КовальчукЯ.А.) кредиторка 2023г., получен сертификат на покупку жилья (Лобейкина Евгения Александровна)</t>
    </r>
  </si>
  <si>
    <r>
      <rPr>
        <b/>
        <sz val="15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5"/>
        <rFont val="Times New Roman"/>
        <family val="1"/>
        <charset val="204"/>
      </rPr>
      <t>-</t>
    </r>
    <r>
      <rPr>
        <b/>
        <sz val="15"/>
        <rFont val="Times New Roman"/>
        <family val="1"/>
        <charset val="204"/>
      </rPr>
      <t xml:space="preserve"> 930,1</t>
    </r>
    <r>
      <rPr>
        <sz val="15"/>
        <rFont val="Times New Roman"/>
        <family val="1"/>
        <charset val="204"/>
      </rPr>
      <t xml:space="preserve">, в том числе: </t>
    </r>
    <r>
      <rPr>
        <b/>
        <sz val="15"/>
        <rFont val="Times New Roman"/>
        <family val="1"/>
        <charset val="204"/>
      </rPr>
      <t xml:space="preserve">721,7 (МБ), 2,2 (РХ),206,2 (ФБ)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- 0,7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^земельный налог - 0,7;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</si>
  <si>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 xml:space="preserve">3.Осуществление отдельных государственных полномочий по предупреждению и ликвидации болезней животных - 4135,0 (РХ), из них: </t>
    </r>
    <r>
      <rPr>
        <sz val="15"/>
        <rFont val="Times New Roman"/>
        <family val="1"/>
        <charset val="204"/>
      </rPr>
      <t>заработная плата – 243,5; больничный лист-2,4; начисления на выплаты по оплате труда – 73,5; уничтожение биологических отходов путем сжигания в спец.печах - 3810,7; запчасти - 1,2; предрейсовый осмотр водителя-1,5;  ремонт тепловой пушки-2,2.</t>
    </r>
  </si>
  <si>
    <r>
      <t>Обеспечение деятельности органов местного самоуправления - 9580,4, в том числе: 5445,4 (МБ), 4135,0 (РХ),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- 5347,2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 3503,8;                                                                                                                                                                                                                                                                       2.Социальное пособие - 20,1;                                                                                                                                                                                                                                                                                                                                                                                                                                                                                      3.Начисления на выплаты по оплате труда – 820,7;                                                                                                                                                                         4.Услуги связи – 59,3;                                                                                                                                                                                                                                                                                                                                                                                                         5.Работы, услуги по содержанию имущества –24,6;                                                                                                                                                                      6.Страхование -3,0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7.Увеличение стоимости материальных запасов –215,7;                                                                                                                                                         8.Прочие расходы –697,3;                                                                                                                                                                                            9.Налоги-2,7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</si>
  <si>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t xml:space="preserve">Реализация проектов комплексного развития сельских территорий  -2405,0 (МБ), </t>
    </r>
    <r>
      <rPr>
        <sz val="15"/>
        <rFont val="Times New Roman"/>
        <family val="1"/>
        <charset val="204"/>
      </rPr>
      <t>из них:</t>
    </r>
    <r>
      <rPr>
        <b/>
        <sz val="15"/>
        <rFont val="Times New Roman"/>
        <family val="1"/>
        <charset val="204"/>
      </rPr>
      <t xml:space="preserve">                                                    </t>
    </r>
    <r>
      <rPr>
        <b/>
        <i/>
        <sz val="15"/>
        <rFont val="Times New Roman"/>
        <family val="1"/>
        <charset val="204"/>
      </rPr>
      <t>1.Формирование современного облика сельских территорий, направленных на создание и развитие инфраструктуры в сельской местности -630,0 (МБ);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2.</t>
    </r>
    <r>
      <rPr>
        <b/>
        <i/>
        <sz val="15"/>
        <rFont val="Times New Roman"/>
        <family val="1"/>
        <charset val="204"/>
      </rPr>
      <t xml:space="preserve">Иные межбюджетные трансферты на мероприятия по формированию современного облика сельских территорий, направленных на создание и развитие инфраструктуры в сельской местности- 1775,0 (МБ)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^Инженерные изыскания для ПСД с.Московское (строительство СДК)-532,5;                                                                                                            ^ПСД с.Московское СДК-1242,5 </t>
    </r>
  </si>
  <si>
    <r>
      <rPr>
        <b/>
        <sz val="15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                                  2987,2 (МБ).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- 289,7 (МБ)</t>
    </r>
    <r>
      <rPr>
        <b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^Проведены мероприятия по ликвидации ЧС, связанному с ЗУД в а. Сапогов -274,0;                                                                                                                       ^Приобретение наглядной агитации, баннер и памяток-15,7.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3.</t>
    </r>
    <r>
      <rPr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Иные межбюджетные трансферты на мероприятия по защите населения от чрезвычайных ситуаций, пожарной безопасности и безопасности на водных объектах</t>
    </r>
    <r>
      <rPr>
        <sz val="15"/>
        <rFont val="Times New Roman"/>
        <family val="1"/>
        <charset val="204"/>
      </rPr>
      <t xml:space="preserve"> - </t>
    </r>
    <r>
      <rPr>
        <b/>
        <i/>
        <sz val="15"/>
        <rFont val="Times New Roman"/>
        <family val="1"/>
        <charset val="204"/>
      </rPr>
      <t xml:space="preserve">46,2 (МБ)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</si>
  <si>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931,9 (РХ)                                                                                </t>
    </r>
    <r>
      <rPr>
        <sz val="15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</si>
  <si>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в области улучшений условий и охраны труда - 427,8 (МБ), из них: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^Приобретение специальной одежды  -138,9;                                                                                                                                                                                                                                                                                                                                                                                    ^Проведение обучения по охране труда -97,15;                                                                                                                                                                                                 ^Проведение мед.осмотров -53,93;                                                                                                                                                                                           ^Приобретение "Системы охраны труда"-88,27                                                                                                        ^Приобретение смывающих и обеззараживающих средств (крем, мыло) -11,05;                                                                                                                  ^Приобретение аптечек-2,5;                                                                                                                                                                           ^Проведение специальной оценки условий труда-27,2                                                                                                                                                                            ^Остаток-8,8.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</si>
  <si>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Мероприятия по профилактике безнадзорности и правонарушений несовершеннолетних - 10,0 (МБ), из них: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досуга в летний период-10,0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</si>
  <si>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- 977,0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1.Оплата труда (ст.211) —596,54;                                                                                                                                                                        2.Начисления на выплаты по оплате труда (ст.213) — 164,56;                                                                                                                     3.Коммунальные услуги (ст.223) — 92,46;                                                                                                                                        4.Увеличение стоимости проч.расходов (ст.226) — 55,01;                                                                                                                     5.Увеличение стоимости материальных запасов (ст.340) — 5,31;                                                                                                                            6.Увеличение стоимости основных средств (ст.310) — 8,24;                                                                                                                                                                                                                                        7.Прочие расходы (ст. 297) — 0,36;                                                                                                                                                              Остаток на счете — 54,47.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</si>
  <si>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Организация, координация туристической деятельности и продвижения туристического продукта.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Мероприятия в области туризма </t>
    </r>
    <r>
      <rPr>
        <b/>
        <sz val="15"/>
        <rFont val="Times New Roman"/>
        <family val="1"/>
        <charset val="204"/>
      </rPr>
      <t xml:space="preserve">- 29,8 (МБ), </t>
    </r>
    <r>
      <rPr>
        <sz val="15"/>
        <rFont val="Times New Roman"/>
        <family val="1"/>
        <charset val="204"/>
      </rPr>
      <t>в том числе:                                                                                                                   1.День открытых дверей-29,8</t>
    </r>
  </si>
  <si>
    <r>
      <t xml:space="preserve">Региональный проект «Культурная среда».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Техническое оснащение региональных и муниципальных музеев (в том числе софинансирование с республиканским  бюджетом)- 257,65,</t>
    </r>
    <r>
      <rPr>
        <sz val="15"/>
        <rFont val="Times New Roman"/>
        <family val="1"/>
        <charset val="204"/>
      </rPr>
      <t>в том числе</t>
    </r>
    <r>
      <rPr>
        <b/>
        <i/>
        <sz val="15"/>
        <rFont val="Times New Roman"/>
        <family val="1"/>
        <charset val="204"/>
      </rPr>
      <t xml:space="preserve">: 5,15 (МБ), 2,5 (РХ), 250,0 (ФБ) из них:                                                               </t>
    </r>
    <r>
      <rPr>
        <sz val="15"/>
        <rFont val="Times New Roman"/>
        <family val="1"/>
        <charset val="204"/>
      </rPr>
      <t>1.Приобретение ПК в сборе - 146,55;                                                                                                                                                      2. Эвотор (терминал)-27,9;                                                                                                                                                                 3.Стенд-83,20</t>
    </r>
    <r>
      <rPr>
        <b/>
        <sz val="15"/>
        <rFont val="Times New Roman"/>
        <family val="1"/>
        <charset val="204"/>
      </rPr>
      <t xml:space="preserve">
</t>
    </r>
  </si>
  <si>
    <r>
      <t>Обеспечение развития отрасли физической культуры и спорта.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</t>
    </r>
    <r>
      <rPr>
        <sz val="15"/>
        <rFont val="Times New Roman"/>
        <family val="1"/>
        <charset val="204"/>
      </rPr>
      <t>.</t>
    </r>
    <r>
      <rPr>
        <b/>
        <i/>
        <sz val="15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-19530,14 (МБ)</t>
    </r>
    <r>
      <rPr>
        <sz val="15"/>
        <rFont val="Times New Roman"/>
        <family val="1"/>
        <charset val="204"/>
      </rPr>
      <t>, в том числе: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1. Заработная плата (ст.211) — 14446,23;                                                                                                                                                                                         2. Начисления на выплаты по оплате труда (ст.213) — 3577,79;                                                                                                                                                           3. Услуги связи (ст.221) — 12,67;                                                                                                                                                                                       4. Коммунальные услуги (ст.223) — 633,22;                                                                                                                                                                                              5. Услуги по содержанию имущества (ст.225) — 105,17;                                              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— 216,85 (предрейсовый осмотр-11,4, усл. Глонасс-0,18, уст.тахографа-55,0,обслуж.сайта-7,0, механик-11,97, усл.охраны-2,5, доп.обучение-128,8);                                                                                                                                                 7. Соц. пособия (Б. листы) (ст. 266)  - 11,88;                                                                                                                                                                                                                                8. Увеличение стоимости прочих оборотных запасов (материалов)(ст.346) — 31,96 (хоз.товары);                                                                                         9. Увеличение стоимости основных средств (ст.310) — 1,09;                                                                                                                                                                                                     10. Увеличение стоимости горюче-смазочных материалов -  106,85;                                                                                                                                                             11.  Прочие расходы (ст.297) —14,56;                                                                                                                                                                                                   12. Страхование ТС - 5,23;                                                                                                                                                                                                                                            13.Увеличение стоимости строительных материалов (ст.344) - 52,05;                                                                                                      Остатки на счете-314,59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</si>
  <si>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3.Капитальный ремонт объектов муниципальной собственности(софинансирование) - 22,62 (МБ),в том числе: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^Капитальный ремонт кровли здания раздевалки и гаражей МБУДО «Усть-Абаканская СШ» - 18,75,                                                                                        ^Капитальный ремонт – замена дверных проемов в МБУДО «Усть-Абаканская СШ» -3,87.</t>
    </r>
  </si>
  <si>
    <r>
      <t xml:space="preserve">4. Создание условий для занятий физической культурой и спортом - 193,50 (МБ), в том числе:                                                                                    </t>
    </r>
    <r>
      <rPr>
        <sz val="15"/>
        <rFont val="Times New Roman"/>
        <family val="1"/>
        <charset val="204"/>
      </rPr>
      <t>^Услуги крытого ледового катка-144,0;                                                                                                                                                Остаток на счете-49,5</t>
    </r>
  </si>
  <si>
    <r>
      <rPr>
        <b/>
        <i/>
        <sz val="15"/>
        <rFont val="Times New Roman"/>
        <family val="1"/>
        <charset val="204"/>
      </rPr>
      <t>5.Укрепление материально-технической базы - 141,08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1. Спортинвентарь (мячи: футбольные, баскетбольные; конус спортивный, скакалка, кираса д/косики каратэ, макивара, диск д/штанги)-100,0;                                                                                                                                                                                        2.Спортинвентарь(мячи, мат)-41,08.                                                                                                                                                                                                  </t>
    </r>
  </si>
  <si>
    <r>
      <t xml:space="preserve">4.Обеспечение деятельности подведомственных учреждений МАУ "Универсальный спортивный зал» - 5588,85 (МБ), </t>
    </r>
    <r>
      <rPr>
        <sz val="15"/>
        <rFont val="Times New Roman"/>
        <family val="1"/>
        <charset val="204"/>
      </rPr>
      <t xml:space="preserve">в том числе: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1. Заработная плата (ст.211) — 3504,47; 2. Начисления на выплаты по оплате труда (ст.213) — 933,63; 3.Услуги связи (ст.221) - 1,96; 4.Коммунальные услуги (ст.223) - 197,74; 5.Услуги по содержанию имущества (ст.225) - 12,5; 6. Прочие работы, услуги (ст.226) — 218,72 ; 7. Увеличение стоимости основных средств (ст.310) — 424,58; 8.Увеличение стоимости прочих оборотных запасов (материалов)(ст.340) - 122,73  Остаток на счете-172,52.</t>
    </r>
  </si>
  <si>
    <r>
      <rPr>
        <b/>
        <u/>
        <sz val="15"/>
        <rFont val="Times New Roman"/>
        <family val="1"/>
        <charset val="204"/>
      </rPr>
      <t>УКМПСТ</t>
    </r>
    <r>
      <rPr>
        <sz val="15"/>
        <rFont val="Times New Roman"/>
        <family val="1"/>
        <charset val="204"/>
      </rPr>
      <t xml:space="preserve">     1. Лыжня России-2024-25,30 (призы);                                                                                                                                                                                              </t>
    </r>
    <r>
      <rPr>
        <b/>
        <u/>
        <sz val="15"/>
        <rFont val="Times New Roman"/>
        <family val="1"/>
        <charset val="204"/>
      </rPr>
      <t>УСЗ:</t>
    </r>
    <r>
      <rPr>
        <sz val="15"/>
        <rFont val="Times New Roman"/>
        <family val="1"/>
        <charset val="204"/>
      </rPr>
      <t xml:space="preserve"> 1. Приобретение керлинга  - 120,00; приобретение наст. игр д/спортакиад-133,70; теннисный стол - 41,59.                            2. Веселые старты-3,92 (призы); 3. Турнир по греко-римской борьбе - 8,55 (призы); 4.Фестиваль настольных игр - 1,95 (призы); 5. Турнир по мини-футболу - 14,04 (призы); 6. Спартакиада спорт.и наст.игр - 6,49 (призы);                                                      7. Спорт.меропр.посвящ.Дню Победы-28,0 (призы); 8. Размещение видеосюжетов-112,0; 9. Фестиваль наст.и спорт. игр - 1,95 (призы); 10. Открытая спартак.по конному спорту-14,1 (призы); 11. Соревнования по керлингу-1,58 (призы); 12. Турнир по футболу - 4,88 (призы); 13. Соревнования по наст.играм-3,74 (призы); 14. Фестиваль наст.игр для старшего поколения-1,95 (призы); 15.Соревнования посв.Дню России-3,12 (призы); 16. Фестиваль по керлингу - 3,12 (призы)   </t>
    </r>
  </si>
  <si>
    <r>
      <rPr>
        <b/>
        <sz val="15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с сфере физической культуры и спорта</t>
    </r>
    <r>
      <rPr>
        <sz val="15"/>
        <rFont val="Times New Roman"/>
        <family val="1"/>
        <charset val="204"/>
      </rPr>
      <t xml:space="preserve"> </t>
    </r>
    <r>
      <rPr>
        <b/>
        <sz val="15"/>
        <rFont val="Times New Roman"/>
        <family val="1"/>
        <charset val="204"/>
      </rPr>
      <t>- 804,96 (МБ),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</t>
    </r>
    <r>
      <rPr>
        <b/>
        <u/>
        <sz val="15"/>
        <rFont val="Times New Roman"/>
        <family val="1"/>
        <charset val="204"/>
      </rPr>
      <t>СШ</t>
    </r>
    <r>
      <rPr>
        <sz val="15"/>
        <rFont val="Times New Roman"/>
        <family val="1"/>
        <charset val="204"/>
      </rPr>
      <t xml:space="preserve"> 1. Тур-р п/хоккею с/мячом на кубок Главы -18,70 (сладкие призы); 2. Зимний фест-ль ГТО - 6,21 (медали,кубки,фоторамки);3. Перв-во р-на п/дартсу (р.п. У-Абакан, 2.03)-12,65 (медали, призы, баннер);4.Мини футбол  (р.п. У-Абакан, 27.03)-7,35 (медали, призы, кубки);   5. Перв-во п/футзалу (юноши) 25,26,29 мар.2024 - 11,46 (медали,кубки);  6. Перв-во п/волейболу (р.п. У-Абакан, 23 мар.2024)-6,99 (медали,кубки); 7. Хоккей с/мячом  (р.п. У-Абакан, с 02 по 03 мар.2024)-10,38 (медали,кубки,призы); 8. Тур-р Главы  п/хоккею с/мячом -40,0 (сертификаты 80 шт); 9.Турнир по баскетб.по наст.теннису-6,46 (призы); 10. Турнир по наст.теннису -3,92 (призы); 11.Турнир по рук.бою - 3,8 (призы); 12. спартакиада ГТО - 7,68 (призы); 13. Первенство по шашкам - 2,34 (призы); 14. Мероприятия посв.Дню Победы - 50,0 (призы, оформление); 15. Открытый фестиваль хакас.нац.игр-21,6 (призы); 16. Размещение видеосюжетов-56,0; 17. Летний фестиваль ГТО -3,0 (призы); 18.Спартакиада ГТО - 3,66 (призы); 19. Остаток на счете-2,78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</si>
  <si>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2.Капитальный ремонт в муниципальных учреждениях, в том числе проектно-сметная документация - 1108,6 (РХ),  в том числе:    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 xml:space="preserve">Капитальный ремонт кровли здания раздевалки и гаражей МБУДО «Усть-Абаканская СШ» - 919,0,                                                                                        ^ Капитальный ремонт – замена дверных проемов в МБУДО «Усть-Абаканская СШ» -189,6. </t>
    </r>
  </si>
  <si>
    <r>
      <rPr>
        <b/>
        <i/>
        <sz val="15"/>
        <rFont val="Times New Roman"/>
        <family val="1"/>
        <charset val="204"/>
      </rPr>
      <t xml:space="preserve">6.Строительство универсального спортивного зала п.Усть-Абакан - 2960,4 (МБ),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Стройконтроль- 39,0; строительство УСЗ - 2921,4.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</si>
  <si>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Мероприятия в сфере физической культуры и спорта - 314,75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1. Соревн. п/хоккею с/мячом "Плетеный мяч" (г. Красноярск, с 10 по 17 янв.2024) - 12,55 (проезд,проживание);                                                                                                   2. Соревн. п/хоккею с/мячом "Плетеный мяч" (г. Новосибирск, с 02 по 14 янв.2024) - 21,41 (проезд,проживание);                                                                                                                3. Соревн. п/хоккею (г. Красноярск, с 02 по 04 фев.2024) - 8,21 (проезд,проживание);                                                                                                                4. Соревн. п/боксу (г. Кемерово, с 24 по 28 янв.2024) - 8,1 (проезд,проживание);                                                                                    5.  Первенство СФО п/спорт.борьбе (г. Кызыл с 09 по11 фев. 2024) -8,6 (проезд,проживание);                                                                                                                     6. Первенство п/боксу (г. Абаза с 07 по 11 мар.2024) - 8,94 (проезд, проживание);                                                                                                                                      7. Межрег-ые соревн. п/баск-лу (г. Ачинск с 20 по 25 янв.2024) - 11,00 (проезд, проживание);                                                                                                                            8. Уч-ие в Фест-ле единоборств "Всерос. тур-р п/косики кратэ-до (Алтайский край, г. Барнаул с 22 по 27 фев.2024)-8,90 (проезд,проживание);                                                                                                                                                                              9. Уч-ие в Фест-ле ГТО с 22 по 23 мар.2024 (15 чел) - 3,9 (суточные, проживание);                                                                                                          10.Уч-ие в межрег-ом тур-ре п/баскетболу "Лига Сибири" (г. Ачинск с 09 по 13 мар.2024) - 16,21 (Проезд, проживание).                                                                                                                                                                                                                            11. Всерос.соревнования по хок.с мячом "Плетеный мяч"г.Красноярск-72,0 (трансп.услуги);                                                                                                                                  12. Всерос.соревнования по рукоп.бою "Кубок "Байкал"-31,87 (проезд, проживание);                                                                                             13. Междунар.тернир по косики-каратэ-9,62 (проезд, проживание);                                                                                                                                                                                    Остаток на счете - 93,44</t>
    </r>
  </si>
  <si>
    <r>
      <rPr>
        <b/>
        <sz val="15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(МБУ культуры МРЦ) - 1171,3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1.Заработная плата (ст.211) — 758,5;                                                                                                                                                                                                              2.Начисления на выплаты по оплате труда (ст.213) — 193,4;                                                                                                                                                               3.Услуги связи (ст.221) —4,3;                                                                                                                                                                                                                                                                                                                                                                                   4.Увеличение стоимости прочих материальных запасов (ст. 346)- 15,0 (канц. товары);                                                                                      5.Командировочные расходы  (ст.226) -29,3;                                                                                                                                                                6.Прочие налоги, сборы (ст.292)-0,3;                                                                                                                                                                      7.Услуги по содержанию имущества (ст.225) - 8,5;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на счете-162,0.          </t>
    </r>
  </si>
  <si>
    <r>
      <rPr>
        <b/>
        <sz val="15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- 1513,75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1. Заработная плата (ст.211)-2570,35;                                                                                                                                                                        2. Начисления на выплаты по оплате труда (ст.213) - 592,44;                                                                                                                                 3. Услуги по содержанию имущества (ст.225) - 1,9 (заправка картридж.);                                                                                                                                                                4. Прочие работы и услуги (ст.226) - 190,06 (Консультант Плюс - 35,06, размещ. инф. в регион.эфире-155,00);                                                                                                                     5. Увелич. ст-ти ОС (ст 310)- 1,35;                                                                                                                                                                                                    6. Увеличение стоимости прочих материальных запасов (ст. 346)- 38,35 (канц. товары);                                                                                              7. Услуги связи-16,6;                                                                                                                                                                                                         8. Прочие расходы (ст.290) — 0,3.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</si>
  <si>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Обеспечение развития отрасли культуры</t>
    </r>
    <r>
      <rPr>
        <sz val="15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(РДК Дружба, ДК им.Гагарина) - 13241,03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 8 537,04;                                                                                                                                                                  2. Начисления на выплаты по оплате труда (ст.213) — 2 217,92;                                                                                                                                                                     3.Услуги связи (ст.221) — 57,7;                                                                                                                                                                                                       4. Коммунальные услуги (ст.223) — 1438,35;                                                                                                                                                          5. Работы, услуги по содержанию имущества (ст.225) —144,86;                                                                                                                                            6. Прочие работы, услуги (ст.226) — 236,94 ((услуги по охране, обучение,подписка);                                                                                                       7.Увеличение стоимости ГСМ (ст.343) — 93,85;                                                                                                                                                                      8. Увелич-е ст-ти строит мат-ов (ст. 344)  — 10,95;                                                                                                                                                                                     9. Увеличение стоимости прочих оборотных запасов (ст.346) — 188,82 (канц. и хоз.товары);                                                                                            10. Страхование (ст.227) —5,91;                                                                                                                                                                                                  11. Увеличение стоимости основных средств (ст.310) — 19,4; .                                                                                                                                                  12. Налоги, сборы  прочие (291,292,297) -29,51;                                                                                                                                        13.  Прочие работы, услуги (ст.266) — 14,98;                                                                                                                                                     Остаток на счете - 244,8.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</si>
  <si>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- 465,80 (МБ):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ДК Гагарина</t>
    </r>
    <r>
      <rPr>
        <sz val="15"/>
        <rFont val="Times New Roman"/>
        <family val="1"/>
        <charset val="204"/>
      </rPr>
      <t xml:space="preserve">: 1. Конкурс ДПИ "Мама, папа, я-творч-ая семья (ко дню защитника Отечества) - 8,64; 2. На балу у Золушки (в т.ч.корета и/фанеры-12,0)-25,0; 3. Концерт на 8 марта (баннер, розы, бат.дюрасел)-20,0; 4. День России (баннер,аквагрим)-7,48; 5. Развлек прогр. "Разноцв. лето"-23,88; 6. 79 годовщ. Победы в ВОВ - 47,6, 7. 9 Мая-62,36; 8. День защиты детей-6,0.                                                                                                                                                                                            Остаток- 45,84.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>РДК Дружба:</t>
    </r>
    <r>
      <rPr>
        <sz val="15"/>
        <rFont val="Times New Roman"/>
        <family val="1"/>
        <charset val="204"/>
      </rPr>
      <t xml:space="preserve"> 1. Уч-ие во Всеросс.конкурсе PACHKA (пошив в костюме 13 шт.)-117,00; 2. Выставка конкурс ДПИ "Слава тебе защитник"-4,0; 3. Благотворит.концерт в поддрержку уч-ов СВО "Мы вместе" с. Калинино-3,6; 4. Выставка-конкурс "Пернатые друзья" - 7,0; 5. Фотоконкурс- 2,25; 6. Выездные мероприятия-10,76; 7. Поэтическая весна-(оформление, призы)-6,78; 8. Лето с Пушкиным (оформление, призы)-15,0; 9. Фестиваль патриот. песни-7,74; 10. Конкурс "Надежда нации"-11,40; 11. Пасха радость нам несет-4,61; 12. Респ.праздник "Чир Ине"-2,4; 13. Уч. в межрег. конкурсе вок. "Звонкие голоса Хакасии"-2,0; 14. О родине, о добре, о славе-7,26; 15. Международный конкурс великая страна -КИТ-2,8; 16. Благотварит. концерт в поддержку СВО-1,53; 17. Пасха радость нам несет-6,28.                                                                                                                                                                                                                                              Остаток- 6,59.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</si>
  <si>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в сфере развития и гармонизации межнациональных отношений - 358,0 (МБ):</t>
    </r>
    <r>
      <rPr>
        <b/>
        <sz val="15"/>
        <rFont val="Times New Roman"/>
        <family val="1"/>
        <charset val="204"/>
      </rPr>
      <t xml:space="preserve">                                                           </t>
    </r>
    <r>
      <rPr>
        <sz val="15"/>
        <rFont val="Times New Roman"/>
        <family val="1"/>
        <charset val="204"/>
      </rPr>
      <t xml:space="preserve"> РДК Дружба:                                                                                                                                                                                                                                 1. Чыл Пазы  - 30,7 (Оформление юрты,цв.иск.,ткань,клеев лист, биокамин (в т.ч. топливо), застежки-кнопки д/ткани,картон,баннеры, булавка, петелька, оформление сцен. действа (фанера, наждачка).  2. Тум пайрам -264,1.                                                                       Остаток на счете -  13,1.                                                                                                                                                                                                                           ДК Гагарина:                                                                                                                                                                                                                                          1. Чыл Пазы  - 40,0 (Оформл. (фанера, брусок), реквизит н/игр.программу и призы). 2.Тум пайрам - 10,1.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</si>
  <si>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Поддержка одаренных детей и молодежи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по поддержке и развитию культуры, искусства и архивного дела - 1573,2 (МБ)</t>
    </r>
    <r>
      <rPr>
        <sz val="15"/>
        <rFont val="Times New Roman"/>
        <family val="1"/>
        <charset val="204"/>
      </rPr>
      <t>, из них:                                                                              ДШИ  1. Народные костюмы-211,00; 2. Гармошка шуйская-93,15; 3. Приобр. кубков -6,05; 4. Приобр. сувениров-5,48.                                                                                                                                                                                                                 ДК Гагарина: 1. Алые паруса-707,9.                                                                                                                                                                       Ост-к: 549,62</t>
    </r>
  </si>
  <si>
    <r>
      <t xml:space="preserve">Развитие системы дополнительного образования детей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 Обеспечение деятельности подведомственных учреждений(ДШИ)- 9450,3 (МБ), </t>
    </r>
    <r>
      <rPr>
        <sz val="15"/>
        <rFont val="Times New Roman"/>
        <family val="1"/>
        <charset val="204"/>
      </rPr>
      <t xml:space="preserve">из них: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sz val="15"/>
        <rFont val="Times New Roman"/>
        <family val="1"/>
        <charset val="204"/>
      </rPr>
      <t>1. Заработная плата (ст.211) — 6877,42;                                                                                                                                                   2. Начисления на выплаты по оплате труда (ст.213) — 1529,19;                                                                                                                          3. Услуги связи (ст.221) — 7,99;                                                                                                                                                                                              4. Коммунальные услуги (ст.223) — 538,52;                                                                                                                                                               5. Услуги по содержанию имущества (ст.225) — 25,42;                                                                                                                                                      6. Прочие работы, услуги (ст.226) — 68,49 (услуги по охране, обучение,подписка);                                                                                                                                                  7. Соц. пособия (б. листы) (ст. 266)  - 2,4;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 Прочие расходы (ст.297) — 4,1;                                                                                                                                                                     Остатки на счете-396,77</t>
    </r>
  </si>
  <si>
    <r>
      <rPr>
        <b/>
        <i/>
        <sz val="15"/>
        <rFont val="Times New Roman"/>
        <family val="1"/>
        <charset val="204"/>
      </rPr>
      <t xml:space="preserve">2.Обеспечение деятельности подведомственных учреждений - 6061,75 (МБ), </t>
    </r>
    <r>
      <rPr>
        <sz val="15"/>
        <rFont val="Times New Roman"/>
        <family val="1"/>
        <charset val="204"/>
      </rPr>
      <t xml:space="preserve">в том числе: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</t>
    </r>
    <r>
      <rPr>
        <sz val="15"/>
        <rFont val="Times New Roman"/>
        <family val="1"/>
        <charset val="204"/>
      </rPr>
      <t xml:space="preserve">1. Заработная плата (ст.211) - 10352,96;                                                                                                                                                                            2. Начисления на выплаты по оплате труда (ст.213) -2481,55;                                                                                                                                  3. Больничные листы (ст. 266)-11,18;                                                                                                                                                                                                   4. Услуги по содержанию имущества (ст.225) -43,95 ( ТО авто+ремонт+шиномонтаж-25,9; заправка (замена) картриджа, замена фотовала,чистка принтера-15,45, шиномонтаж-0,8, тех.осмотр-1,8);                                                                                                                                       5. Прочие работы, услуги (ст.226) -104,84 (прогр.обеспеч-22,54, Консультант Плюс - 35,06; 1С-35,0, предрейсовый осмотр-12,24);                                                                                                                                                                                                                                                  6. Страхование (ст. 227) - 9,26;                                                                                                                                                                                7. Увеличение стоимости ГСМ (ст.343)-90,78;                                                                                                                                                               8. Увеличение стоимости прочих оборотных запасов (ст.346) — 159,73 (канц. и хоз.товары);                                                                        9. Услуги связи (ст.221)- 38,2;                                                                                                                                                                                                             10.Прочие расходы (ст.290) — 1,8.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</si>
  <si>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2.Мероприятия по поддержке и развитию культуры, искусства и архивного дела - 1554,9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Установка видеонаблюдения -11,94; 2. ЛитРес - 60,00; 3. Стол-39,72; 4. Принтер Canon PIXMA G1411-33,80; 5. Юбилей библиотек (организация, подарки ветеранам)-56,68; 6.  Компьютер в сборе-115,93; 7. Монитор - 32,13; 8. Книжный фонд -200; 9. Стеллажи офисные -796,30; 10. Спил дерева  аал Райков -30,00; 11. Информационный материал в российской газете-42,00; 12. Фотосъемка-74,83; Остаток- 61,57.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</si>
  <si>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3.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i/>
        <sz val="15"/>
        <rFont val="Times New Roman"/>
        <family val="1"/>
        <charset val="204"/>
      </rPr>
      <t xml:space="preserve">- </t>
    </r>
    <r>
      <rPr>
        <b/>
        <i/>
        <sz val="15"/>
        <rFont val="Times New Roman"/>
        <family val="1"/>
        <charset val="204"/>
      </rPr>
      <t>181,48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из них</t>
    </r>
    <r>
      <rPr>
        <i/>
        <sz val="15"/>
        <rFont val="Times New Roman"/>
        <family val="1"/>
        <charset val="204"/>
      </rPr>
      <t>:</t>
    </r>
    <r>
      <rPr>
        <b/>
        <i/>
        <sz val="15"/>
        <rFont val="Times New Roman"/>
        <family val="1"/>
        <charset val="204"/>
      </rPr>
      <t xml:space="preserve"> 3,63 (МБ), 177,85(РХ).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Предоставление широкополосного доступа к сети интернет 13-ти филиалам МБУК «Усть-Абаканская ЦБС».</t>
    </r>
  </si>
  <si>
    <r>
      <t xml:space="preserve">Сохранение культурных ценностей:
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- 2456,96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  1252,13;                                                                                                                                                                                      2. Начисления на выплаты по оплате труда (ст.213) — 346,51;                                                                                                                                                                         3. Коммунальные услуги (ст.223) — 172,42;                                                                                                                                                                                          4. Услуги по содержанию имущества (ст.225) — 42,43;                                                                                                                                              5. Прочие работы, услуги (ст.226) — 143,20;                                                                                                                                                                6. Пособие по врем.нетруд. (266)-4,53;                                                                                                                                                                            7. Увелич-е ст-ти ОС (ст 310)  — 122,01;                                                                                                                                                                                8. 7.Увеличение стоимости ГСМ (ст.343) — 1,35;                                                                                                                                                    9. Увелич-е ст-ти строит мат-ов (ст. 344)  — 28,5;                                                                                                                                                                                    10. Увеличение стоимости прочих оборотных запасов (ст.346) — 34,04 (канц. и хоз.товары);                                                                                 11. Прочие расходы (ст. 297)— 3,28.                                                                                                                                                                                                     Остаток на счете — 306,56.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</si>
  <si>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2.Мероприятия по поддержке и развитию культуры, искусства и архивного дела - 2682,20 (МБ):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</t>
    </r>
    <r>
      <rPr>
        <sz val="15"/>
        <rFont val="Times New Roman"/>
        <family val="1"/>
        <charset val="204"/>
      </rPr>
      <t xml:space="preserve"> 1. Блокадный хлеб - 3,20; 2. Конкурс рисунков "Стоит на страже Родины солдат" - 3,50; 3. Возложение - 13,00;                                       4. мастер-класс-4,0; 5. Открытие выставки "Герои наших дней" - 10,0; 6. Приобретение материалов на мероприятие "Широкая масленница" - 3,0; 7. Приобретение материалов д/провелдения мероприятия к юбилею У-Абаканского р-на - 300,00; 8. Юбилей района-150,00; 9. Встреча 3-х поколений-9,13; 10. Квест "Наша Победа"-18,00; 11. Пасха-4,95; 12. Возложение к могиле неизвестного солдата-37,34; 13. 9 мая-599,8; 14. Памятник СВО-10,00; 15. Автопробег-2,0; 16. Дети войны-7,0; 17. Праздник "День защиты детей"-18,00; 18. Юбилей района-131,10.                                                                                 Остаток: 1358,18.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</t>
    </r>
    <r>
      <rPr>
        <sz val="15"/>
        <rFont val="Times New Roman"/>
        <family val="1"/>
        <charset val="204"/>
      </rPr>
      <t xml:space="preserve"> </t>
    </r>
  </si>
  <si>
    <r>
      <rPr>
        <b/>
        <i/>
        <sz val="15"/>
        <rFont val="Times New Roman"/>
        <family val="1"/>
        <charset val="204"/>
      </rPr>
      <t>3.Обеспечение безопасности музейного фонда и развитие музеев- 38,50(МБ),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в том числе:                                                                               Салбык: акарицидная обработка, дератизация территорий-38,5</t>
    </r>
  </si>
  <si>
    <r>
      <t xml:space="preserve">4. Государственная поддержка отрасли культуры за счет средств резервного фонда Правительства Российской Федерации-138,24 , из них  2,8 (МБ), 13,54 (РХ), 121,9 (ФБ).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Книжный фонд -138,24.</t>
    </r>
  </si>
  <si>
    <r>
      <t>Совершенствование библиотечной деятельности</t>
    </r>
    <r>
      <rPr>
        <sz val="15"/>
        <rFont val="Times New Roman"/>
        <family val="1"/>
        <charset val="204"/>
      </rPr>
      <t xml:space="preserve">: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(МБУК «Усть-Абаканская ЦБС») - 16917,45 (МБ)</t>
    </r>
    <r>
      <rPr>
        <sz val="15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 11608,53;                                                                                                                                                                                  2. Начисления на выплаты по оплате труда (ст.213) — 2845,54;                                                                                                                                          3. Услуги связи (ст.221) — 123,13;                                                                                                                                                                         4. Коммунальные услуги (ст.223) — 709,67;                                                                                                                                                                      5. Услуги по содержанию имущества (ст.225) — 75,30;                                                                                                                                                             6. Прочие работы, услуги (ст.226) — 373,05;                                                                                                                                                    7. Соц. пособия (Б. листы) (ст. 266)  - 41,53;                                                                                                                                                                8. Увеличение стоимости прочих оборотных запасов (материалов)(ст.346) — 126,94 (хоз.товары);                                                                                                                           9. Увеличение стоимости основных средств (ст.310) —246,08;                                                                                                                 10. Увеличение стоимости ГСМ (ст.343)-40,1;                                                                                                                                                                                     11.  Прочие расходы (ст.297) — 3,14;                                                                                                                                                                                    12. Увеличение стоимости материальных запасов(ст.344)-207,61.                                                                                                                                        Остатки на счете-516,83.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</si>
  <si>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 22052,50 (РХ)</t>
    </r>
    <r>
      <rPr>
        <b/>
        <sz val="15"/>
        <rFont val="Times New Roman"/>
        <family val="1"/>
        <charset val="204"/>
      </rPr>
      <t>, в том числе:</t>
    </r>
    <r>
      <rPr>
        <sz val="15"/>
        <rFont val="Times New Roman"/>
        <family val="1"/>
        <charset val="204"/>
      </rPr>
      <t xml:space="preserve"> Опекунское пособие на 287 детей - 14775,6; вознаграждение приемным семьям 44 чел. -7276,9.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</t>
    </r>
  </si>
  <si>
    <r>
      <rPr>
        <b/>
        <i/>
        <sz val="15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- 3950,20 (РХ):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Субсидии на выполнения муниципального задания: из средств респуб.бюджета на оплату труда- 3596,5; услуги связи- 75,1; коммунальные услуги - 37,5, услуги по содержанию имущества- 10,8; прочие услуги- 39,4;  приобретение  основных средств - 12,1; приобретение мат.запасов- 171,2; прочие расходы - 2,5; страхование -5,1 </t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</si>
  <si>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- 1838,0 (МБ), </t>
    </r>
    <r>
      <rPr>
        <i/>
        <sz val="15"/>
        <rFont val="Times New Roman"/>
        <family val="1"/>
        <charset val="204"/>
      </rPr>
      <t>из них: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^ Субсидии на выполнения муниципального задания из средств МБ: оплата труда - 1679,2, коммунальные услуги - 122,8, прочие расходы-11,8, приобретение мат.запасов-24,2.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</si>
  <si>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t xml:space="preserve">2.Капитальный ремонт, в муниципальных учреждениях,  т.ч. разработка ПСД-29,8(МБ):                                                                             </t>
    </r>
    <r>
      <rPr>
        <sz val="15"/>
        <rFont val="Times New Roman"/>
        <family val="1"/>
        <charset val="204"/>
      </rPr>
      <t>ПСД на капитальный ремонт столовой лагеря "Дружба"</t>
    </r>
  </si>
  <si>
    <r>
      <t xml:space="preserve">3.Мероприятия по организации отдыха, оздоровления и занятости несовершеннолетних-397,6 (МБ):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Средства спонсоров (Благотворительный фонд Андрея Мельниченко) для создания на базе МБОУ "Усть-Абаканская СОШ им.М.Е.Орлова" (корпус 1) 20 рабочих мест для временного трудоустройства несовершеннолетних в взрасте 14-18 лет.</t>
    </r>
  </si>
  <si>
    <r>
      <t xml:space="preserve">4.Проведение ремонта загородных детских лагерей, оздоровительных лагерей- 3697,6 (РХ):                                               </t>
    </r>
    <r>
      <rPr>
        <sz val="15"/>
        <rFont val="Times New Roman"/>
        <family val="1"/>
        <charset val="204"/>
      </rPr>
      <t>Кап.ремонт котельной - 1454,3 , кап.ремонт здания столовой - 2243,3</t>
    </r>
  </si>
  <si>
    <r>
      <t xml:space="preserve">5.Ремонт загородных детских лагерей, оздоровительных лагерей(софинансирование) - 75,5 (МБ).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Капитальный ремонт котельной - 29,7, кап.ремонт здания столовой - 45,8 </t>
    </r>
  </si>
  <si>
    <r>
      <t xml:space="preserve">2.Создание условия для обеспечения современного качества дополнительного образования- 185,02 (МБ)                                  </t>
    </r>
    <r>
      <rPr>
        <sz val="15"/>
        <rFont val="Times New Roman"/>
        <family val="1"/>
        <charset val="204"/>
      </rPr>
      <t>Спилка и валка деревьев: ЦДО-185,02.</t>
    </r>
  </si>
  <si>
    <r>
      <rPr>
        <b/>
        <sz val="15"/>
        <rFont val="Times New Roman"/>
        <family val="1"/>
        <charset val="204"/>
      </rPr>
      <t>Развитие системы дополнительного образования детей: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- 9662,95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оплата труда-9387,74, услуги связи-25,32, коммунальные услуги - 164,52, услуги по сод.имущества - 31,29, прочие услуги-21,91, прочие расходы-1,39, приобретение мат.запасов-30,78.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</si>
  <si>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1.Создание условия для обеспечения современного качества образования - 748,34 (МБ)</t>
    </r>
    <r>
      <rPr>
        <sz val="15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Участие команд школьников района в выездных мероприятиях - 479,52, приобретение фотобумаги -3,71, дистанционная олимпиада для дошкольников и младших школьников по функциональной грамотности - 1,0; школьная лига - 5,0;  муниципальный этап всеросийского конкурса юных чтецов "Живая классика" - 0,5; районный конкурс "Жила-была Царевна..." среди воспитанников дошкольных образовательных организаций - 1,0; открытая дистанционная этнокультура Олимпиады для  учащихся 1-4 классов "Народные промыслы" - 0,5, поощрительные выплаты выпускникам-80,0, награждение организаций с одаренными детьми-30,0, награждение выпускников-120,0, награждение одаренных детей-27,11.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</si>
  <si>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- 3390,07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 (из средств МБ) - оплата труда-3362,87, приобретение основных средств - 27,2.</t>
    </r>
  </si>
  <si>
    <r>
      <t xml:space="preserve"> «Региональный проект Республики Хакасия "Успех каждого ребенка»                                                                                                                                            1. </t>
    </r>
    <r>
      <rPr>
        <b/>
        <i/>
        <sz val="15"/>
        <rFont val="Times New Roman"/>
        <family val="1"/>
        <charset val="204"/>
      </rPr>
      <t xml:space="preserve">Оснащение (обновление материально-технической базы) оборудованием 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 ( в ом числе софинансирование с республиканским бюджетом)- 6791,32, из них 67,92 (МБ),67,2 (РХ), 6656,2 (РФ):                                                                      </t>
    </r>
    <r>
      <rPr>
        <sz val="15"/>
        <rFont val="Times New Roman"/>
        <family val="1"/>
        <charset val="204"/>
      </rPr>
      <t>Приобретение оборудования,инвентаря, программное обеспечения для создания доп. общеразвивающих программ:  В-Бидж. СОШ-370,0, Доможаковская СОШ-181,92, Калининская СОШ-370,0, Красноозерная ООШ-185,0, Московская СОШ-369,72, Росток-185,6, Опытненская СОШ-369,9, Райковская СОШ-370,0, Расцветская СОШ-367,92, Сапоговская СОШ-355,15 , Солнечная СОШ-370,0, Усть-абаканская СОШ-1175,4, Усть-Бюрская СОШ-370,0, Чапаевская СОШ-370,0, Чарковская СОШИ-185,0, ЦДО-1195,71.</t>
    </r>
  </si>
  <si>
    <r>
      <rPr>
        <b/>
        <sz val="15"/>
        <rFont val="Times New Roman"/>
        <family val="1"/>
        <charset val="204"/>
      </rPr>
      <t xml:space="preserve">Включение детей и молодежи в общественную деятельность патриотической направленности.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Мероприятия, направленные на патриотическое воспитание граждан - 678,6 (МБ), </t>
    </r>
    <r>
      <rPr>
        <sz val="15"/>
        <rFont val="Times New Roman"/>
        <family val="1"/>
        <charset val="204"/>
      </rPr>
      <t>из них: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Открытое первенство Усть-Абаканского района по военно-спортивному многоборью "Юнармейцы в юбках" - 33,0; приобретение медалей и кубков - 66,0, приобретение канц.товаров - 32,5,мероприятие " Она звучит не умирая"-93,5  (сувениры, оформление), турнир по каратэ (призы)-12,48;орган.питания участников спор.игры-22,8, инфор. стенд с гос. символикой-13,44, манекен детский-24,96 , ветровки-82,5, инфор. стенд-189,0, древко для флага-7,4, инфор.листовки-4,2 , сапоги, пилотки-79,84., орг.питания участников пятидневных сборов-6,6, медали-1,68, пилотки-6,5, фурнитура-2,2.</t>
    </r>
  </si>
  <si>
    <r>
      <rPr>
        <b/>
        <sz val="15"/>
        <rFont val="Times New Roman"/>
        <family val="1"/>
        <charset val="204"/>
      </rPr>
      <t xml:space="preserve">Развитие дошкольного образования: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- 32923,34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Расходы на выполнения муниципального задания из средств районного бюджета:                                                                                       оплата труда - 19708,46, услуги связи -28,0, транспортные услуги -135,81, коммунальные услуги- 7971,15, услуги по сод.имущества- 976,83, прочие услуги- 515,17, прочие расходы -2450,61, приобретение основных средств- 55,55, приобретение мат.запасов- 1081,76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</si>
  <si>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 xml:space="preserve">3.Капитальный ремонт в муниципальных учреждениях, в том числе проектно-сметная документация- 190,0 (МБ):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Выполнение сметной документац.д/с Звездочка-10,0,оценка тек.состояния строит.конструк. здания д/с Ромашка-180,00.</t>
    </r>
  </si>
  <si>
    <r>
      <rPr>
        <b/>
        <i/>
        <sz val="15"/>
        <rFont val="Times New Roman"/>
        <family val="1"/>
        <charset val="204"/>
      </rPr>
      <t>3.Мероприятия по развитию дошкольного образования - 1740,77 (МБ),</t>
    </r>
    <r>
      <rPr>
        <sz val="15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вентиляции в пищеблоке д/с Звездочка - 110,41;                                                                                                                        ^Текущий ремонт кровли: д/с Ласточка-235,51;                                                                                                                                                          ^Демонтаж бетонных беседок: д/с Ласточка-174,94;                                                                                                                              ^Приобретение мед. оборуд. и инвентаря: д/с Ласточка-72,3;                                                                                                                                                        ^Испытание пожарных кранов и лестниц,огражд.кровли: д/с Ромашка-8,8;  д/с Радуга-13,6.; д/с Рябинушка-10,7;                                                                                                                                                                                                                               ^Ремонт электрооборудования в группах д/с Аленушка - 281,49;                                                                                                           ^Приобретение мебели в группу д/с Звездочка - 30,0; д/с Аленушка-80,0;                                                                                                                   ^Приобретениие оборудования на участок д/с Звездочка - 150,0;                                                                                                                                       ^Спилка и валка деревьев:д/с Ласточка -525,42;                                                                                                                                             ^Приобретение огнетушителей: д/с Ромашка-2,7, д/сРодничок-0,9;                                                                             ^Приобретение оборуд.и инвентаря в пищеблок: д/с Рябинушка-44,00.</t>
    </r>
  </si>
  <si>
    <r>
      <rPr>
        <b/>
        <sz val="15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-95187,85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Расходы на выполнения муниципального задания из средств районного бюджета: оплата труда-33850,57, услуги связи-112,4, транспортные услуги-1617,37, коммунальные услуги-32295,64, аренда-84,51,услуги по сод.имущества- 5682,66, прочие услуги-3249,67, страхование-206,91, прочие расходы-7445,97, приобретение основных средств-186,14, приобретение мат.запасов-10456,01.</t>
    </r>
  </si>
  <si>
    <r>
      <rPr>
        <b/>
        <i/>
        <sz val="15"/>
        <rFont val="Times New Roman"/>
        <family val="1"/>
        <charset val="204"/>
      </rPr>
      <t>4.Ежемесячное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- 35074,0 (ФБ)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</si>
  <si>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>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- 299527,0 (РХ)</t>
    </r>
    <r>
      <rPr>
        <b/>
        <sz val="15"/>
        <rFont val="Times New Roman"/>
        <family val="1"/>
        <charset val="204"/>
      </rPr>
      <t xml:space="preserve">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труда- 294540,02; услуги связи- 83,64; прочие услуги-1343,31;  приобретение основных средств- 2550,86; приобретение мат.запасов - 1009,17.</t>
    </r>
  </si>
  <si>
    <r>
      <rPr>
        <b/>
        <i/>
        <sz val="15"/>
        <rFont val="Times New Roman"/>
        <family val="1"/>
        <charset val="204"/>
      </rPr>
      <t xml:space="preserve">3.Обеспечение деятельности подведомственных учреждений (Центр поддержки одаренных детей, Центр поддержки детей с ограниченными возможностями) - 711,0 (МБ), </t>
    </r>
    <r>
      <rPr>
        <sz val="15"/>
        <rFont val="Times New Roman"/>
        <family val="1"/>
        <charset val="204"/>
      </rPr>
      <t>из них: оплата труда-649,4, услуги связи-2,0, услуги по сод.имущества- 4,65, прочие услуги-30,71,приобретение основных средств-18,4, приобретение мат.запасов-5,84.</t>
    </r>
  </si>
  <si>
    <r>
      <t xml:space="preserve">Региональный проект Республики Хакасия «Патриотическое воспитание граждан Российской Федерации»                                                                                                  </t>
    </r>
    <r>
      <rPr>
        <sz val="15"/>
        <rFont val="Times New Roman"/>
        <family val="1"/>
        <charset val="204"/>
      </rPr>
  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организациях-</t>
    </r>
    <r>
      <rPr>
        <b/>
        <i/>
        <sz val="15"/>
        <rFont val="Times New Roman"/>
        <family val="1"/>
        <charset val="204"/>
      </rPr>
      <t xml:space="preserve"> 1300,9, из них 1287,90 (ФБ), 13,0(РХ)  </t>
    </r>
    <r>
      <rPr>
        <sz val="15"/>
        <rFont val="Times New Roman"/>
        <family val="1"/>
        <charset val="204"/>
      </rPr>
      <t xml:space="preserve">  Оплата труда советников.</t>
    </r>
  </si>
  <si>
    <t xml:space="preserve">7.Организация школьного питания  (816 чел.)- 4059,78 из них: 1243,98 (МБ), 2815,80 (РХ).         </t>
  </si>
  <si>
    <r>
      <rPr>
        <b/>
        <i/>
        <sz val="15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- 62496,8 (РХ)</t>
    </r>
    <r>
      <rPr>
        <b/>
        <sz val="15"/>
        <rFont val="Times New Roman"/>
        <family val="1"/>
        <charset val="204"/>
      </rPr>
      <t xml:space="preserve">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труда- 61478,6, услуги связи- 47,7, прочие услуги- 948,1, приобретение материальных запасов-22,4.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</si>
  <si>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 Капитальный ремонт в муниципальных учреждениях, в том числе проектно-сметная документация -      805,13 (МБ),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Проверка смет.док. на кап.ремонт здания Чапаевская СОШ-10,0; выполнение сметной документации на кап ремонт здания: Красноозерная ООШ-225,0, Усть-Бюрская СОШ-295,0; гос. экспертиза ПСД: Красноозерная ООШ-83,48, У-бюрская СОШ-191,65.                                                            </t>
    </r>
  </si>
  <si>
    <r>
      <t>6.Реализация мероприятий по развитию общеобразовательных организаций (софинансирование)-59,60 (МБ):                      ^</t>
    </r>
    <r>
      <rPr>
        <sz val="15"/>
        <rFont val="Times New Roman"/>
        <family val="1"/>
        <charset val="204"/>
      </rPr>
      <t>Кап. ремонт -монтаж ПС: Усть-Абаканская СОШ-59,6.</t>
    </r>
  </si>
  <si>
    <r>
      <rPr>
        <b/>
        <i/>
        <sz val="15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- 16908,276 (МБ),</t>
    </r>
    <r>
      <rPr>
        <sz val="15"/>
        <rFont val="Times New Roman"/>
        <family val="1"/>
        <charset val="204"/>
      </rPr>
      <t xml:space="preserve"> из них: оплата труда-14798,996, услуги связи-53,79, коммунальные услуги-390,82, услуги по сод.имущества- 124,13, прочие услуги-1150,83,страхование-5,99 , прочие расходы-3,88, приобретение мат.запасов-379,84.</t>
    </r>
  </si>
  <si>
    <r>
      <rPr>
        <b/>
        <i/>
        <sz val="15"/>
        <rFont val="Times New Roman"/>
        <family val="1"/>
        <charset val="204"/>
      </rPr>
      <t xml:space="preserve">9.Реализация мероприятий по модернизации школьных систем образования (в том числе софинансирование с республиканским бюджетом)- 3276,96, из них 32,76 (МБ), 324,4 (РХ), 2919,80 (ФБ):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^Капитальный ремонт и оснащение средствами обучения и воспитания в полном объемк МБОУ "Чапаевская СОШ"</t>
    </r>
  </si>
  <si>
    <r>
      <rPr>
        <b/>
        <i/>
        <sz val="15"/>
        <rFont val="Times New Roman"/>
        <family val="1"/>
        <charset val="204"/>
      </rPr>
      <t xml:space="preserve">8.Организация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5"/>
        <rFont val="Times New Roman"/>
        <family val="1"/>
        <charset val="204"/>
      </rPr>
      <t>- 17494,947</t>
    </r>
    <r>
      <rPr>
        <b/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из них: </t>
    </r>
    <r>
      <rPr>
        <b/>
        <sz val="15"/>
        <rFont val="Times New Roman"/>
        <family val="1"/>
        <charset val="204"/>
      </rPr>
      <t xml:space="preserve">174,947(МБ), 1732,20 (РХ), 15587,8 (ФБ).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</si>
  <si>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2.Строительство,реконструкция объектов муниципальной собственности, в том числе разработка проектно-сметной документации - 0,007(МБ)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^Пеня по земельному налогу под строительство д/с в д.Чапаево.</t>
    </r>
  </si>
  <si>
    <r>
      <rPr>
        <b/>
        <sz val="15"/>
        <rFont val="Times New Roman"/>
        <family val="1"/>
        <charset val="204"/>
      </rPr>
      <t>Обеспечение условий развития сферы образования: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- 5644,66 (МБ)</t>
    </r>
    <r>
      <rPr>
        <i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 xml:space="preserve">из них: оплата труда-5366,95, командировоч. расходы-4,25, услуги связи-24,16, услуги по сод.имущества-8,9, прочие услуги- 209,5, приобретение мат.запасов-30,9.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</si>
  <si>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t xml:space="preserve">Обеспечение мер социальной поддержки детей-сирот и детей, оставшихся без попечения родителей.   </t>
    </r>
    <r>
      <rPr>
        <b/>
        <i/>
        <sz val="15"/>
        <rFont val="Times New Roman"/>
        <family val="1"/>
        <charset val="204"/>
      </rPr>
      <t xml:space="preserve">1.Предоставление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помещений, либо  на предоставление выплаты на приобретение жилого помещения в собственность, удостоверяемой скртификатом - 31036,8 , в том числе 19313,50 (РХ), 11723,30 (ФБ).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Приобретено 9 квартир для лиц из числа детей-сирот и оставшихся без попечения родителей. 6 сертификатов - в стадии оформления.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</si>
  <si>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Социальные выплаты гражданам, в соответствии с действующим законодательством -3928,9</t>
    </r>
    <r>
      <rPr>
        <sz val="15"/>
        <rFont val="Times New Roman"/>
        <family val="1"/>
        <charset val="204"/>
      </rPr>
      <t>, из них:</t>
    </r>
    <r>
      <rPr>
        <b/>
        <sz val="15"/>
        <rFont val="Times New Roman"/>
        <family val="1"/>
        <charset val="204"/>
      </rPr>
      <t xml:space="preserve">                    3656,3(МБ),   272,6 (РХ)</t>
    </r>
    <r>
      <rPr>
        <sz val="15"/>
        <rFont val="Times New Roman"/>
        <family val="1"/>
        <charset val="204"/>
      </rPr>
      <t>, в том числе: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- 3520,5;                                                                                                                                                    2.Оказание материальной помощи малообеспеченным категориям населения(2 чел) -30,0;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- 15,8;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- 90,0 (4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>-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272,6 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</si>
  <si>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>3. Создание условия для обеспечения современного качества образования - 5987,58 (МБ),  в том числе:</t>
    </r>
    <r>
      <rPr>
        <b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^Замена дверей ПВХ В-Биджинская СОШ (225) - 58,25;                                                                                                               ^Замена электрооборудования на пищеблоке Доможаковская СОШ (225) - 96,21;                                                                                                               ^Установка противопожар. дверей: Опытненская СОШ (225) - 46,67 т.руб; Усть-Абаканская ОШИ (225) - 140,0;  Чарковская СОШИ-230,0.                                                                                                                                                                                                     ^Текущий ремонт спортзала  (225) Сапоговская СОШ - 350,0;                                                                                                                                       ^Испытание пожарных кранов Усть-Абаканская ОШИ (225) - 5,0;                                                                                                                                           ^Установка кабинок в туалетную комнату Росток (226) - 95,45;                                                                                                                                                ^Монтаж аварийного освещения Опытненская СОШ (226) - 124,70;                                                                                                                     ^Оборудование на участок (310): В-Биджинская СОШ - 150,0 ; Весенненская СОШ - 150,0 ; Московская СОШ - 145,0 ; Сапоговская СОШ - 150,0;                                                                                                                                                                                                          ^Приобретение оборудования  для пищеблока (310) :  В-Биджинская СОШ - 52,1; Сапоговская СОШ - 89,3;  Доможаковская СОШ--37,19.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группу:Росток диван  (310) - 49,57, лестницы для кровати - 26,2 ;                                                           ^Приобретение оргтехники (веб.камера) для ГИА (310,346)  Опытненская СОШ - 35,54, Усть-Абаканская СОШ-29,57, Усть-бюрская СОШ-1,26 , Калининская СОШ-9,37,  Сапоговская СОШ-11,93.                                                                                                                     ^Приобретение огнетушителей (310): Расцветская СОШ - 13,5; Усть-Абаканская ОШИ - 0,9;                                                                                                                         ^Приобретение стройматериалов (346) В-Биджинская СОШ - 235,23;                                                                                                                                                                                                      ^Приобретение пожарных знаков Росток (346) - 11,12;                                                                                                                                                                             ^Приобретение канцтоваров для ГИА Опытненская СОШ - 10,75.                                                                                                                                                                                                   </t>
    </r>
  </si>
  <si>
    <t>^Приобретение продуктов питания для мероприятия "Учитель года" - 9,04, приобретение для награждения "Учитель года" телевизор, кофеварка, эл. гриль, пылесос, микроволновка - 64,69; награждение (грамоты, сувениры, цветы) - 109,67                                                                                                                                                                                                         ^Замена светильников: Московская СОШ-135,53., Сапоговская СОШ-53,42;                                                                                      ^Приобретение кондиционеров: Доможаковская СОШ-81,04, Усть-абаканская СОШ-1514,63;                                                                                 ^Ремонт и замена обрещетки на батареях в спор. Зале: Солнечная СОШ-48,82;                                                                                                                                              ^Разработка ПСД системы ПС:В-биджинская СОШ-204,0, Доможаковская СОШ-50,0, Росток-178,0 , Чарковская СОШИ-300,00;                                                                                                                                                                                                                                                                              ^Установка защитных экранов в спор.зале: 125,93;                                                                                                                                                                  ^Испытание пож. кранов,лестниц, проверка кач. огнез. обработки:Росток-9,0 , Усть-абаканская ОШИ-15,0;                                                                                                                                                                                                                                               ^Устройство запасного выхода:Сапоговская СОШ-323,35,                                                                                                                                                                                                                            ^Замена эвакуационных дверей: Расцветская СОШ-410,65.</t>
  </si>
  <si>
    <r>
      <rPr>
        <b/>
        <i/>
        <sz val="15"/>
        <rFont val="Times New Roman"/>
        <family val="1"/>
        <charset val="204"/>
      </rPr>
      <t xml:space="preserve">2. Мероприятия по поддержке и развитию культуры, искусства и архивного дела - 2541,07 (МБ),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</t>
    </r>
    <r>
      <rPr>
        <b/>
        <u/>
        <sz val="15"/>
        <rFont val="Times New Roman"/>
        <family val="1"/>
        <charset val="204"/>
      </rPr>
      <t xml:space="preserve">РДК: </t>
    </r>
    <r>
      <rPr>
        <sz val="15"/>
        <rFont val="Times New Roman"/>
        <family val="1"/>
        <charset val="204"/>
      </rPr>
      <t xml:space="preserve">1. Конкурс "Защитник Отечества"-7,0; 2. Фотоконкурс повящ. (23 февраля-3,0+8 марта-2,98)-5,98; 3. Районный конкурс-чтецов-30,0; 4. День работника ЖКХ-37,21; 5. День работника культуры-24,5; 6. Повышение квалификации-5,0; 6. Выставка "Нам жить и помнить"-4,16;   7. Костюмы д/ведущих, оформление фотозоны  - 131,0; 8. Мир б/войны - 3,0; 9. К 25-ти летию ансамбля народной песни "Добро" - 52,47; 10. 9 мая-136,40; 11. Передача ВГТРК-168; 12. Вместе мы-Россия!-12,83; 13. Ост-к: 159,69.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5"/>
        <rFont val="Times New Roman"/>
        <family val="1"/>
        <charset val="204"/>
      </rPr>
      <t>ДК:</t>
    </r>
    <r>
      <rPr>
        <sz val="15"/>
        <rFont val="Times New Roman"/>
        <family val="1"/>
        <charset val="204"/>
      </rPr>
      <t xml:space="preserve">    1. Приобретение портьеры-39,94; 2. Конкурс ДПИ "Мама, папа, я-творч-ая семья" (к 23 февраля)-1,3; 2. Концерт "Мы за сильную Россию", посвящ. дню выборов-51,28; 3. Фотоконкурс "Благословите женщину" - 29,13; 4. Выездная программа "Время игры"-60,6; 5. Конкурс ДПИ (Мама папа я -спортивная семья) ко Дню защитника отечества-6,9; 6. День космонавтики - 9,94; 7. Конкурс ДПИ (Казачья мастерская)-3,26; 7. Оформление фотозоны СУЭК 9 мая-19,0; 8. Программа передач ВГТРК-168,0;  День предпринимателя-5,0; 11. Выставка конкурс-14,84; 14. Фестиваль "Игры дружбы" -2,78; 12. День медицинского работника-150,3; 13. День муниципального служащего - 187,8; 14. Пресс-тур к 100 летию У-Абакана "Нам есть чем гордиться"-62,50; 15. Ост-к-80,10.                                                                                                                                                                   </t>
    </r>
    <r>
      <rPr>
        <b/>
        <u/>
        <sz val="15"/>
        <rFont val="Times New Roman"/>
        <family val="1"/>
        <charset val="204"/>
      </rPr>
      <t>МРЦ:</t>
    </r>
    <r>
      <rPr>
        <sz val="15"/>
        <rFont val="Times New Roman"/>
        <family val="1"/>
        <charset val="204"/>
      </rPr>
      <t xml:space="preserve"> мероприятия к 100-летию района -871,16 (пригл.артистов)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</si>
  <si>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4.Государственная поддержка отрасли культуры (денежное поощрение лучших сельских учреждений культуры)  (в том числе софинансирование с республиканским бюджетом)-103,07, в том числе 2,06(МБ),                                                                                                       1,01 (РХ), 100,0 (ФБ):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ЦБС: телевизор,резак сабельный,кронштейн для ТВ в Расцветовскую библиотеку, ф-л 23.</t>
    </r>
  </si>
  <si>
    <r>
      <rPr>
        <b/>
        <i/>
        <sz val="15"/>
        <rFont val="Times New Roman"/>
        <family val="1"/>
        <charset val="204"/>
      </rPr>
      <t>2. Мероприятия в области молодежной политики - 470,50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 Встреча 3-х поколений "Без права на забвение"-3,0;                                                                                                                                                                           2. Квест "Территория здоровья"-12,5;                                                                                                                                                                                                 3. 9 мая-99,0;                                                                                                                                                                                                                         4. Слет "Доброе дело"-2,0;                                                                                                                                                                                                                                 5. Эко-неделя-5,0;                                                                                                                                                                                                                                                         6.День молодежи-2,1;                                                                                                                                                                                                                                                                                                  7.Размещение видеосюжета-176,0.                                                                                                                                                                          Ост-к: 170,9.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</si>
</sst>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0.0"/>
    <numFmt numFmtId="166" formatCode="#,##0.000000"/>
    <numFmt numFmtId="167" formatCode="#,##0.000"/>
    <numFmt numFmtId="168" formatCode="#,##0.00000"/>
  </numFmts>
  <fonts count="3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3.5"/>
      <name val="Times New Roman"/>
      <family val="1"/>
      <charset val="204"/>
    </font>
    <font>
      <sz val="13"/>
      <name val="Times New Roman"/>
      <family val="1"/>
      <charset val="204"/>
    </font>
    <font>
      <sz val="13.5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21"/>
      <name val="Times New Roman"/>
      <family val="1"/>
      <charset val="204"/>
    </font>
    <font>
      <b/>
      <sz val="21"/>
      <name val="Times New Roman"/>
      <family val="1"/>
      <charset val="204"/>
    </font>
    <font>
      <b/>
      <i/>
      <sz val="21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u/>
      <sz val="15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5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165" fontId="4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165" fontId="2" fillId="0" borderId="5" xfId="0" applyNumberFormat="1" applyFont="1" applyFill="1" applyBorder="1" applyAlignment="1">
      <alignment horizontal="center" vertical="top"/>
    </xf>
    <xf numFmtId="0" fontId="10" fillId="0" borderId="7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/>
    </xf>
    <xf numFmtId="165" fontId="2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/>
    </xf>
    <xf numFmtId="165" fontId="2" fillId="0" borderId="8" xfId="0" applyNumberFormat="1" applyFont="1" applyFill="1" applyBorder="1" applyAlignment="1">
      <alignment horizontal="left" vertical="top"/>
    </xf>
    <xf numFmtId="165" fontId="2" fillId="0" borderId="6" xfId="0" applyNumberFormat="1" applyFont="1" applyFill="1" applyBorder="1" applyAlignment="1">
      <alignment horizontal="left" vertical="top"/>
    </xf>
    <xf numFmtId="165" fontId="2" fillId="0" borderId="5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vertical="top" wrapText="1"/>
    </xf>
    <xf numFmtId="165" fontId="4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horizontal="center" vertical="top"/>
    </xf>
    <xf numFmtId="0" fontId="9" fillId="0" borderId="8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vertical="top" wrapText="1"/>
    </xf>
    <xf numFmtId="0" fontId="10" fillId="0" borderId="9" xfId="0" applyFont="1" applyFill="1" applyBorder="1" applyAlignment="1">
      <alignment horizontal="left" vertical="top" wrapText="1"/>
    </xf>
    <xf numFmtId="165" fontId="8" fillId="0" borderId="6" xfId="0" applyNumberFormat="1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165" fontId="4" fillId="0" borderId="8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center" vertical="top" wrapText="1"/>
    </xf>
    <xf numFmtId="165" fontId="2" fillId="0" borderId="8" xfId="0" applyNumberFormat="1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 vertical="top" wrapText="1"/>
    </xf>
    <xf numFmtId="165" fontId="2" fillId="0" borderId="6" xfId="0" applyNumberFormat="1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center" vertical="top"/>
    </xf>
    <xf numFmtId="49" fontId="2" fillId="0" borderId="8" xfId="0" applyNumberFormat="1" applyFont="1" applyFill="1" applyBorder="1" applyAlignment="1">
      <alignment vertical="top"/>
    </xf>
    <xf numFmtId="0" fontId="4" fillId="0" borderId="8" xfId="0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center"/>
    </xf>
    <xf numFmtId="0" fontId="11" fillId="0" borderId="7" xfId="0" applyFont="1" applyFill="1" applyBorder="1" applyAlignment="1">
      <alignment vertical="top" wrapText="1"/>
    </xf>
    <xf numFmtId="0" fontId="11" fillId="0" borderId="9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165" fontId="4" fillId="0" borderId="6" xfId="0" applyNumberFormat="1" applyFont="1" applyFill="1" applyBorder="1" applyAlignment="1">
      <alignment horizontal="center" vertical="top"/>
    </xf>
    <xf numFmtId="0" fontId="14" fillId="0" borderId="9" xfId="0" applyFont="1" applyFill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4" fillId="0" borderId="0" xfId="0" applyFont="1" applyFill="1" applyAlignment="1">
      <alignment vertical="top"/>
    </xf>
    <xf numFmtId="165" fontId="8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Border="1"/>
    <xf numFmtId="165" fontId="8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vertical="top" wrapText="1"/>
    </xf>
    <xf numFmtId="165" fontId="9" fillId="2" borderId="8" xfId="0" applyNumberFormat="1" applyFont="1" applyFill="1" applyBorder="1" applyAlignment="1">
      <alignment vertical="top" wrapText="1"/>
    </xf>
    <xf numFmtId="165" fontId="9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horizontal="left" vertical="top" wrapText="1"/>
    </xf>
    <xf numFmtId="165" fontId="2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top"/>
    </xf>
    <xf numFmtId="0" fontId="2" fillId="2" borderId="0" xfId="0" applyFont="1" applyFill="1"/>
    <xf numFmtId="4" fontId="2" fillId="0" borderId="0" xfId="0" applyNumberFormat="1" applyFont="1" applyFill="1" applyAlignment="1">
      <alignment vertical="top"/>
    </xf>
    <xf numFmtId="4" fontId="4" fillId="0" borderId="0" xfId="0" applyNumberFormat="1" applyFont="1" applyFill="1" applyAlignment="1">
      <alignment vertical="top"/>
    </xf>
    <xf numFmtId="49" fontId="4" fillId="0" borderId="8" xfId="0" applyNumberFormat="1" applyFont="1" applyFill="1" applyBorder="1" applyAlignment="1">
      <alignment horizontal="center" vertical="top"/>
    </xf>
    <xf numFmtId="165" fontId="8" fillId="0" borderId="8" xfId="0" applyNumberFormat="1" applyFont="1" applyFill="1" applyBorder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8" fillId="0" borderId="8" xfId="0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center" vertical="top"/>
    </xf>
    <xf numFmtId="165" fontId="8" fillId="0" borderId="9" xfId="0" applyNumberFormat="1" applyFont="1" applyFill="1" applyBorder="1" applyAlignment="1">
      <alignment vertical="top" wrapText="1"/>
    </xf>
    <xf numFmtId="1" fontId="2" fillId="0" borderId="0" xfId="0" applyNumberFormat="1" applyFont="1" applyFill="1" applyAlignment="1">
      <alignment horizontal="center" vertical="top"/>
    </xf>
    <xf numFmtId="4" fontId="2" fillId="0" borderId="0" xfId="0" applyNumberFormat="1" applyFont="1" applyFill="1"/>
    <xf numFmtId="0" fontId="2" fillId="0" borderId="0" xfId="0" applyFont="1" applyFill="1" applyAlignment="1">
      <alignment vertical="top"/>
    </xf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49" fontId="17" fillId="0" borderId="0" xfId="0" applyNumberFormat="1" applyFont="1" applyFill="1" applyAlignment="1">
      <alignment horizontal="left"/>
    </xf>
    <xf numFmtId="164" fontId="8" fillId="2" borderId="5" xfId="0" applyNumberFormat="1" applyFont="1" applyFill="1" applyBorder="1" applyAlignment="1">
      <alignment horizontal="center" vertical="top"/>
    </xf>
    <xf numFmtId="164" fontId="8" fillId="2" borderId="8" xfId="0" applyNumberFormat="1" applyFont="1" applyFill="1" applyBorder="1" applyAlignment="1">
      <alignment horizontal="center" vertical="top"/>
    </xf>
    <xf numFmtId="164" fontId="8" fillId="2" borderId="6" xfId="0" applyNumberFormat="1" applyFont="1" applyFill="1" applyBorder="1" applyAlignment="1">
      <alignment horizontal="center" vertical="top"/>
    </xf>
    <xf numFmtId="164" fontId="4" fillId="2" borderId="8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 wrapText="1"/>
    </xf>
    <xf numFmtId="4" fontId="2" fillId="3" borderId="0" xfId="0" applyNumberFormat="1" applyFont="1" applyFill="1" applyAlignment="1">
      <alignment vertical="top"/>
    </xf>
    <xf numFmtId="0" fontId="2" fillId="3" borderId="0" xfId="0" applyFont="1" applyFill="1"/>
    <xf numFmtId="0" fontId="9" fillId="0" borderId="5" xfId="0" applyFont="1" applyFill="1" applyBorder="1" applyAlignment="1">
      <alignment horizontal="left" vertical="top" wrapText="1"/>
    </xf>
    <xf numFmtId="164" fontId="4" fillId="0" borderId="5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right" vertical="top" shrinkToFit="1"/>
    </xf>
    <xf numFmtId="165" fontId="4" fillId="0" borderId="1" xfId="0" applyNumberFormat="1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11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center" vertical="top"/>
    </xf>
    <xf numFmtId="4" fontId="2" fillId="3" borderId="0" xfId="0" applyNumberFormat="1" applyFont="1" applyFill="1"/>
    <xf numFmtId="164" fontId="2" fillId="0" borderId="5" xfId="0" applyNumberFormat="1" applyFont="1" applyFill="1" applyBorder="1" applyAlignment="1">
      <alignment horizontal="right" vertical="top" shrinkToFit="1"/>
    </xf>
    <xf numFmtId="165" fontId="9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vertical="center"/>
    </xf>
    <xf numFmtId="164" fontId="18" fillId="0" borderId="0" xfId="0" applyNumberFormat="1" applyFont="1" applyFill="1" applyBorder="1" applyAlignment="1">
      <alignment horizontal="center" vertical="top"/>
    </xf>
    <xf numFmtId="165" fontId="17" fillId="0" borderId="0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center" vertical="top"/>
    </xf>
    <xf numFmtId="164" fontId="17" fillId="0" borderId="0" xfId="0" applyNumberFormat="1" applyFont="1" applyFill="1" applyAlignment="1">
      <alignment horizontal="left" vertical="top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left" vertical="top" wrapText="1"/>
    </xf>
    <xf numFmtId="164" fontId="2" fillId="0" borderId="8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165" fontId="9" fillId="0" borderId="1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top" wrapText="1"/>
    </xf>
    <xf numFmtId="164" fontId="8" fillId="0" borderId="8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165" fontId="2" fillId="0" borderId="0" xfId="0" applyNumberFormat="1" applyFont="1" applyFill="1" applyAlignment="1">
      <alignment vertical="top"/>
    </xf>
    <xf numFmtId="164" fontId="19" fillId="0" borderId="8" xfId="0" applyNumberFormat="1" applyFont="1" applyFill="1" applyBorder="1" applyAlignment="1">
      <alignment vertical="top"/>
    </xf>
    <xf numFmtId="0" fontId="2" fillId="0" borderId="8" xfId="0" applyNumberFormat="1" applyFont="1" applyFill="1" applyBorder="1" applyAlignment="1">
      <alignment vertical="top" wrapText="1"/>
    </xf>
    <xf numFmtId="164" fontId="4" fillId="0" borderId="6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vertical="top" wrapText="1"/>
    </xf>
    <xf numFmtId="4" fontId="2" fillId="3" borderId="13" xfId="0" applyNumberFormat="1" applyFont="1" applyFill="1" applyBorder="1" applyAlignment="1">
      <alignment vertical="top"/>
    </xf>
    <xf numFmtId="4" fontId="2" fillId="2" borderId="14" xfId="0" applyNumberFormat="1" applyFont="1" applyFill="1" applyBorder="1"/>
    <xf numFmtId="4" fontId="2" fillId="3" borderId="15" xfId="0" applyNumberFormat="1" applyFont="1" applyFill="1" applyBorder="1" applyAlignment="1">
      <alignment vertical="top"/>
    </xf>
    <xf numFmtId="0" fontId="2" fillId="0" borderId="16" xfId="0" applyFont="1" applyFill="1" applyBorder="1"/>
    <xf numFmtId="4" fontId="2" fillId="3" borderId="17" xfId="0" applyNumberFormat="1" applyFont="1" applyFill="1" applyBorder="1" applyAlignment="1"/>
    <xf numFmtId="0" fontId="2" fillId="0" borderId="18" xfId="0" applyFont="1" applyFill="1" applyBorder="1"/>
    <xf numFmtId="4" fontId="2" fillId="3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vertical="top" wrapText="1"/>
    </xf>
    <xf numFmtId="165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  <xf numFmtId="165" fontId="8" fillId="0" borderId="6" xfId="0" applyNumberFormat="1" applyFont="1" applyFill="1" applyBorder="1" applyAlignment="1">
      <alignment horizontal="left" vertical="top" wrapText="1"/>
    </xf>
    <xf numFmtId="166" fontId="4" fillId="0" borderId="5" xfId="0" applyNumberFormat="1" applyFont="1" applyFill="1" applyBorder="1" applyAlignment="1">
      <alignment horizontal="center" vertical="top"/>
    </xf>
    <xf numFmtId="0" fontId="2" fillId="4" borderId="0" xfId="0" applyFont="1" applyFill="1"/>
    <xf numFmtId="4" fontId="9" fillId="3" borderId="0" xfId="0" applyNumberFormat="1" applyFont="1" applyFill="1" applyAlignment="1">
      <alignment vertical="top"/>
    </xf>
    <xf numFmtId="165" fontId="20" fillId="0" borderId="8" xfId="0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vertical="top" shrinkToFit="1"/>
    </xf>
    <xf numFmtId="164" fontId="8" fillId="0" borderId="5" xfId="0" applyNumberFormat="1" applyFont="1" applyFill="1" applyBorder="1" applyAlignment="1">
      <alignment vertical="top" shrinkToFit="1"/>
    </xf>
    <xf numFmtId="164" fontId="2" fillId="0" borderId="0" xfId="0" applyNumberFormat="1" applyFont="1" applyFill="1" applyAlignment="1">
      <alignment horizontal="right" vertical="top" shrinkToFit="1"/>
    </xf>
    <xf numFmtId="164" fontId="4" fillId="0" borderId="0" xfId="0" applyNumberFormat="1" applyFont="1" applyFill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center" vertical="center" shrinkToFit="1"/>
    </xf>
    <xf numFmtId="164" fontId="2" fillId="0" borderId="1" xfId="0" applyNumberFormat="1" applyFont="1" applyFill="1" applyBorder="1" applyAlignment="1">
      <alignment horizontal="center" vertical="center" shrinkToFit="1"/>
    </xf>
    <xf numFmtId="164" fontId="8" fillId="0" borderId="8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vertical="top" shrinkToFit="1"/>
    </xf>
    <xf numFmtId="164" fontId="8" fillId="0" borderId="8" xfId="0" applyNumberFormat="1" applyFont="1" applyFill="1" applyBorder="1" applyAlignment="1">
      <alignment vertical="top" shrinkToFit="1"/>
    </xf>
    <xf numFmtId="164" fontId="9" fillId="0" borderId="6" xfId="0" applyNumberFormat="1" applyFont="1" applyFill="1" applyBorder="1" applyAlignment="1">
      <alignment vertical="top" shrinkToFit="1"/>
    </xf>
    <xf numFmtId="164" fontId="2" fillId="0" borderId="8" xfId="0" applyNumberFormat="1" applyFont="1" applyFill="1" applyBorder="1" applyAlignment="1">
      <alignment horizontal="right" vertical="top" shrinkToFit="1"/>
    </xf>
    <xf numFmtId="164" fontId="4" fillId="0" borderId="8" xfId="0" applyNumberFormat="1" applyFont="1" applyFill="1" applyBorder="1" applyAlignment="1">
      <alignment horizontal="right" vertical="top" shrinkToFit="1"/>
    </xf>
    <xf numFmtId="164" fontId="2" fillId="0" borderId="6" xfId="0" applyNumberFormat="1" applyFont="1" applyFill="1" applyBorder="1" applyAlignment="1">
      <alignment horizontal="right" vertical="top" shrinkToFit="1"/>
    </xf>
    <xf numFmtId="164" fontId="2" fillId="0" borderId="12" xfId="0" applyNumberFormat="1" applyFont="1" applyFill="1" applyBorder="1" applyAlignment="1">
      <alignment horizontal="right" vertical="top" shrinkToFit="1"/>
    </xf>
    <xf numFmtId="164" fontId="2" fillId="0" borderId="4" xfId="0" applyNumberFormat="1" applyFont="1" applyFill="1" applyBorder="1" applyAlignment="1">
      <alignment horizontal="right" vertical="top" shrinkToFit="1"/>
    </xf>
    <xf numFmtId="164" fontId="2" fillId="0" borderId="11" xfId="0" applyNumberFormat="1" applyFont="1" applyFill="1" applyBorder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right" vertical="top" shrinkToFit="1"/>
    </xf>
    <xf numFmtId="164" fontId="2" fillId="0" borderId="0" xfId="0" applyNumberFormat="1" applyFont="1" applyFill="1" applyBorder="1" applyAlignment="1">
      <alignment horizontal="right" vertical="top" shrinkToFit="1"/>
    </xf>
    <xf numFmtId="164" fontId="11" fillId="0" borderId="8" xfId="0" applyNumberFormat="1" applyFont="1" applyFill="1" applyBorder="1" applyAlignment="1">
      <alignment horizontal="right" vertical="top" shrinkToFit="1"/>
    </xf>
    <xf numFmtId="164" fontId="11" fillId="0" borderId="6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right" vertical="top" shrinkToFit="1"/>
    </xf>
    <xf numFmtId="164" fontId="1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Alignment="1">
      <alignment horizontal="right" vertical="top" shrinkToFit="1"/>
    </xf>
    <xf numFmtId="164" fontId="17" fillId="0" borderId="0" xfId="0" applyNumberFormat="1" applyFont="1" applyFill="1" applyAlignment="1">
      <alignment horizontal="right" vertical="top" shrinkToFit="1"/>
    </xf>
    <xf numFmtId="164" fontId="8" fillId="3" borderId="5" xfId="0" applyNumberFormat="1" applyFont="1" applyFill="1" applyBorder="1" applyAlignment="1">
      <alignment horizontal="right" vertical="top" shrinkToFit="1"/>
    </xf>
    <xf numFmtId="164" fontId="4" fillId="3" borderId="1" xfId="0" applyNumberFormat="1" applyFont="1" applyFill="1" applyBorder="1" applyAlignment="1">
      <alignment horizontal="right" vertical="top" shrinkToFit="1"/>
    </xf>
    <xf numFmtId="164" fontId="4" fillId="3" borderId="5" xfId="0" applyNumberFormat="1" applyFont="1" applyFill="1" applyBorder="1" applyAlignment="1">
      <alignment horizontal="right" vertical="top" shrinkToFit="1"/>
    </xf>
    <xf numFmtId="164" fontId="2" fillId="3" borderId="5" xfId="0" applyNumberFormat="1" applyFont="1" applyFill="1" applyBorder="1" applyAlignment="1">
      <alignment horizontal="right" vertical="top" shrinkToFit="1"/>
    </xf>
    <xf numFmtId="164" fontId="8" fillId="3" borderId="1" xfId="0" applyNumberFormat="1" applyFont="1" applyFill="1" applyBorder="1" applyAlignment="1">
      <alignment horizontal="right" vertical="top" shrinkToFit="1"/>
    </xf>
    <xf numFmtId="4" fontId="9" fillId="0" borderId="0" xfId="0" applyNumberFormat="1" applyFont="1" applyFill="1" applyAlignment="1">
      <alignment vertical="top"/>
    </xf>
    <xf numFmtId="0" fontId="9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vertical="top" wrapText="1"/>
    </xf>
    <xf numFmtId="165" fontId="8" fillId="0" borderId="1" xfId="0" applyNumberFormat="1" applyFont="1" applyFill="1" applyBorder="1" applyAlignment="1">
      <alignment horizontal="center" vertical="top"/>
    </xf>
    <xf numFmtId="165" fontId="9" fillId="0" borderId="5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165" fontId="9" fillId="0" borderId="0" xfId="0" applyNumberFormat="1" applyFont="1" applyFill="1" applyAlignment="1">
      <alignment vertical="top"/>
    </xf>
    <xf numFmtId="165" fontId="9" fillId="0" borderId="8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8" fillId="0" borderId="6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165" fontId="9" fillId="0" borderId="5" xfId="0" applyNumberFormat="1" applyFont="1" applyFill="1" applyBorder="1" applyAlignment="1">
      <alignment horizontal="center" vertical="top" wrapText="1"/>
    </xf>
    <xf numFmtId="165" fontId="9" fillId="0" borderId="8" xfId="0" applyNumberFormat="1" applyFont="1" applyFill="1" applyBorder="1" applyAlignment="1">
      <alignment horizontal="center" vertical="top" wrapText="1"/>
    </xf>
    <xf numFmtId="165" fontId="8" fillId="0" borderId="2" xfId="0" applyNumberFormat="1" applyFont="1" applyFill="1" applyBorder="1" applyAlignment="1">
      <alignment horizontal="center" vertical="top" wrapText="1"/>
    </xf>
    <xf numFmtId="165" fontId="9" fillId="0" borderId="6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8" fillId="0" borderId="0" xfId="0" applyNumberFormat="1" applyFont="1" applyFill="1" applyBorder="1" applyAlignment="1">
      <alignment horizontal="left" vertical="center" wrapText="1"/>
    </xf>
    <xf numFmtId="165" fontId="9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top"/>
    </xf>
    <xf numFmtId="165" fontId="8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Alignment="1">
      <alignment wrapText="1"/>
    </xf>
    <xf numFmtId="0" fontId="9" fillId="0" borderId="0" xfId="0" applyNumberFormat="1" applyFont="1" applyFill="1"/>
    <xf numFmtId="0" fontId="9" fillId="0" borderId="0" xfId="0" applyFont="1" applyFill="1" applyBorder="1"/>
    <xf numFmtId="3" fontId="9" fillId="0" borderId="1" xfId="0" applyNumberFormat="1" applyFont="1" applyFill="1" applyBorder="1" applyAlignment="1">
      <alignment horizontal="center" vertical="center" shrinkToFit="1"/>
    </xf>
    <xf numFmtId="4" fontId="8" fillId="0" borderId="0" xfId="0" applyNumberFormat="1" applyFont="1" applyFill="1" applyBorder="1" applyAlignment="1">
      <alignment horizontal="right" vertical="top" shrinkToFit="1"/>
    </xf>
    <xf numFmtId="164" fontId="8" fillId="0" borderId="0" xfId="0" applyNumberFormat="1" applyFont="1" applyFill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Alignment="1">
      <alignment horizontal="center" vertical="top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1" fontId="9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vertical="top" wrapText="1"/>
    </xf>
    <xf numFmtId="49" fontId="9" fillId="0" borderId="7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49" fontId="8" fillId="0" borderId="5" xfId="0" applyNumberFormat="1" applyFont="1" applyFill="1" applyBorder="1" applyAlignment="1">
      <alignment horizontal="center" vertical="top"/>
    </xf>
    <xf numFmtId="49" fontId="8" fillId="0" borderId="8" xfId="0" applyNumberFormat="1" applyFont="1" applyFill="1" applyBorder="1" applyAlignment="1">
      <alignment horizontal="center" vertical="top"/>
    </xf>
    <xf numFmtId="49" fontId="9" fillId="0" borderId="8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165" fontId="9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165" fontId="9" fillId="0" borderId="0" xfId="0" applyNumberFormat="1" applyFont="1" applyFill="1" applyBorder="1" applyAlignment="1">
      <alignment wrapText="1"/>
    </xf>
    <xf numFmtId="1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/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center"/>
    </xf>
    <xf numFmtId="49" fontId="9" fillId="0" borderId="9" xfId="0" applyNumberFormat="1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left" vertical="center"/>
    </xf>
    <xf numFmtId="2" fontId="9" fillId="0" borderId="9" xfId="0" applyNumberFormat="1" applyFont="1" applyFill="1" applyBorder="1" applyAlignment="1">
      <alignment horizontal="left" vertical="center"/>
    </xf>
    <xf numFmtId="2" fontId="9" fillId="0" borderId="0" xfId="0" applyNumberFormat="1" applyFont="1" applyFill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vertical="top"/>
    </xf>
    <xf numFmtId="0" fontId="9" fillId="0" borderId="12" xfId="0" applyFont="1" applyFill="1" applyBorder="1" applyAlignment="1">
      <alignment vertical="top"/>
    </xf>
    <xf numFmtId="164" fontId="9" fillId="0" borderId="0" xfId="0" applyNumberFormat="1" applyFont="1" applyFill="1" applyAlignment="1">
      <alignment horizontal="right" vertical="top" shrinkToFit="1"/>
    </xf>
    <xf numFmtId="164" fontId="8" fillId="0" borderId="0" xfId="0" applyNumberFormat="1" applyFont="1" applyFill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center" shrinkToFit="1"/>
    </xf>
    <xf numFmtId="164" fontId="8" fillId="0" borderId="1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top" shrinkToFit="1"/>
    </xf>
    <xf numFmtId="3" fontId="9" fillId="0" borderId="1" xfId="0" applyNumberFormat="1" applyFont="1" applyFill="1" applyBorder="1" applyAlignment="1">
      <alignment horizontal="center" vertical="center"/>
    </xf>
    <xf numFmtId="2" fontId="9" fillId="0" borderId="7" xfId="0" applyNumberFormat="1" applyFont="1" applyFill="1" applyBorder="1" applyAlignment="1">
      <alignment horizontal="left" vertical="center"/>
    </xf>
    <xf numFmtId="2" fontId="9" fillId="0" borderId="10" xfId="0" applyNumberFormat="1" applyFont="1" applyFill="1" applyBorder="1" applyAlignment="1">
      <alignment horizontal="left" vertical="center"/>
    </xf>
    <xf numFmtId="2" fontId="9" fillId="0" borderId="11" xfId="0" applyNumberFormat="1" applyFont="1" applyFill="1" applyBorder="1" applyAlignment="1">
      <alignment vertical="top"/>
    </xf>
    <xf numFmtId="0" fontId="9" fillId="0" borderId="11" xfId="0" applyFont="1" applyFill="1" applyBorder="1" applyAlignment="1">
      <alignment vertical="top"/>
    </xf>
    <xf numFmtId="4" fontId="9" fillId="0" borderId="0" xfId="0" applyNumberFormat="1" applyFont="1" applyFill="1" applyBorder="1" applyAlignment="1">
      <alignment horizontal="left" vertical="top"/>
    </xf>
    <xf numFmtId="0" fontId="8" fillId="0" borderId="8" xfId="0" applyFont="1" applyFill="1" applyBorder="1" applyAlignment="1">
      <alignment vertical="top" wrapText="1"/>
    </xf>
    <xf numFmtId="164" fontId="8" fillId="0" borderId="9" xfId="0" applyNumberFormat="1" applyFont="1" applyFill="1" applyBorder="1" applyAlignment="1">
      <alignment vertical="top"/>
    </xf>
    <xf numFmtId="165" fontId="9" fillId="0" borderId="21" xfId="0" applyNumberFormat="1" applyFont="1" applyFill="1" applyBorder="1" applyAlignment="1">
      <alignment vertical="top" wrapText="1"/>
    </xf>
    <xf numFmtId="165" fontId="8" fillId="0" borderId="11" xfId="0" applyNumberFormat="1" applyFont="1" applyFill="1" applyBorder="1" applyAlignment="1">
      <alignment vertical="top" wrapText="1"/>
    </xf>
    <xf numFmtId="165" fontId="8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165" fontId="9" fillId="0" borderId="0" xfId="0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8" fillId="0" borderId="9" xfId="0" applyNumberFormat="1" applyFont="1" applyFill="1" applyBorder="1" applyAlignment="1">
      <alignment horizontal="right" vertical="top" shrinkToFit="1"/>
    </xf>
    <xf numFmtId="164" fontId="9" fillId="0" borderId="9" xfId="0" applyNumberFormat="1" applyFont="1" applyFill="1" applyBorder="1" applyAlignment="1">
      <alignment horizontal="right" vertical="top" shrinkToFit="1"/>
    </xf>
    <xf numFmtId="0" fontId="9" fillId="0" borderId="8" xfId="0" applyNumberFormat="1" applyFont="1" applyFill="1" applyBorder="1" applyAlignment="1">
      <alignment vertical="top" wrapText="1"/>
    </xf>
    <xf numFmtId="164" fontId="9" fillId="0" borderId="9" xfId="0" applyNumberFormat="1" applyFont="1" applyFill="1" applyBorder="1" applyAlignment="1">
      <alignment vertical="top" shrinkToFit="1"/>
    </xf>
    <xf numFmtId="164" fontId="9" fillId="0" borderId="8" xfId="0" applyNumberFormat="1" applyFont="1" applyFill="1" applyBorder="1" applyAlignment="1">
      <alignment horizontal="center" vertical="top"/>
    </xf>
    <xf numFmtId="165" fontId="9" fillId="0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27" fillId="0" borderId="0" xfId="0" applyFont="1" applyFill="1" applyAlignment="1"/>
    <xf numFmtId="164" fontId="28" fillId="0" borderId="0" xfId="0" applyNumberFormat="1" applyFont="1" applyFill="1" applyBorder="1" applyAlignment="1">
      <alignment horizontal="right" vertical="top" shrinkToFit="1"/>
    </xf>
    <xf numFmtId="164" fontId="28" fillId="0" borderId="0" xfId="0" applyNumberFormat="1" applyFont="1" applyFill="1" applyBorder="1" applyAlignment="1">
      <alignment horizontal="center" vertical="top"/>
    </xf>
    <xf numFmtId="165" fontId="27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left"/>
    </xf>
    <xf numFmtId="164" fontId="28" fillId="0" borderId="0" xfId="0" applyNumberFormat="1" applyFont="1" applyFill="1" applyBorder="1" applyAlignment="1">
      <alignment horizontal="left" vertical="top" shrinkToFit="1"/>
    </xf>
    <xf numFmtId="49" fontId="27" fillId="0" borderId="0" xfId="0" applyNumberFormat="1" applyFont="1" applyFill="1" applyAlignment="1">
      <alignment horizontal="left"/>
    </xf>
    <xf numFmtId="164" fontId="27" fillId="0" borderId="0" xfId="0" applyNumberFormat="1" applyFont="1" applyFill="1" applyAlignment="1">
      <alignment horizontal="left" vertical="top" shrinkToFit="1"/>
    </xf>
    <xf numFmtId="164" fontId="28" fillId="0" borderId="0" xfId="0" applyNumberFormat="1" applyFont="1" applyFill="1" applyAlignment="1">
      <alignment horizontal="right" vertical="top" shrinkToFit="1"/>
    </xf>
    <xf numFmtId="164" fontId="27" fillId="0" borderId="0" xfId="0" applyNumberFormat="1" applyFont="1" applyFill="1" applyAlignment="1">
      <alignment horizontal="right" vertical="top" shrinkToFit="1"/>
    </xf>
    <xf numFmtId="164" fontId="28" fillId="0" borderId="0" xfId="0" applyNumberFormat="1" applyFont="1" applyFill="1" applyAlignment="1">
      <alignment horizontal="center" vertical="top"/>
    </xf>
    <xf numFmtId="164" fontId="27" fillId="0" borderId="0" xfId="0" applyNumberFormat="1" applyFont="1" applyFill="1" applyAlignment="1">
      <alignment horizontal="left" vertical="top"/>
    </xf>
    <xf numFmtId="0" fontId="27" fillId="0" borderId="0" xfId="0" applyFont="1" applyFill="1"/>
    <xf numFmtId="0" fontId="29" fillId="0" borderId="0" xfId="0" applyFont="1" applyFill="1" applyAlignment="1">
      <alignment horizontal="center"/>
    </xf>
    <xf numFmtId="0" fontId="27" fillId="0" borderId="0" xfId="0" applyFont="1" applyFill="1" applyAlignment="1">
      <alignment wrapText="1"/>
    </xf>
    <xf numFmtId="4" fontId="9" fillId="0" borderId="0" xfId="0" applyNumberFormat="1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right" shrinkToFit="1"/>
    </xf>
    <xf numFmtId="165" fontId="9" fillId="0" borderId="9" xfId="0" applyNumberFormat="1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vertical="center"/>
    </xf>
    <xf numFmtId="165" fontId="9" fillId="0" borderId="10" xfId="0" applyNumberFormat="1" applyFont="1" applyFill="1" applyBorder="1" applyAlignment="1">
      <alignment horizontal="left" vertical="center"/>
    </xf>
    <xf numFmtId="165" fontId="9" fillId="0" borderId="7" xfId="0" applyNumberFormat="1" applyFont="1" applyFill="1" applyBorder="1" applyAlignment="1">
      <alignment horizontal="left" vertical="center"/>
    </xf>
    <xf numFmtId="16" fontId="9" fillId="0" borderId="0" xfId="0" applyNumberFormat="1" applyFont="1" applyFill="1" applyBorder="1"/>
    <xf numFmtId="167" fontId="9" fillId="0" borderId="0" xfId="0" applyNumberFormat="1" applyFont="1" applyFill="1" applyAlignment="1">
      <alignment horizontal="left" vertical="center"/>
    </xf>
    <xf numFmtId="167" fontId="9" fillId="0" borderId="5" xfId="0" applyNumberFormat="1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top"/>
    </xf>
    <xf numFmtId="0" fontId="21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horizontal="left" vertical="top" wrapText="1"/>
    </xf>
    <xf numFmtId="0" fontId="9" fillId="0" borderId="8" xfId="0" applyNumberFormat="1" applyFont="1" applyFill="1" applyBorder="1" applyAlignment="1">
      <alignment horizontal="left" vertical="top" wrapText="1"/>
    </xf>
    <xf numFmtId="164" fontId="9" fillId="0" borderId="21" xfId="0" applyNumberFormat="1" applyFont="1" applyFill="1" applyBorder="1" applyAlignment="1">
      <alignment vertical="top" shrinkToFit="1"/>
    </xf>
    <xf numFmtId="164" fontId="9" fillId="0" borderId="12" xfId="0" applyNumberFormat="1" applyFont="1" applyFill="1" applyBorder="1" applyAlignment="1">
      <alignment horizontal="right" vertical="top" shrinkToFit="1"/>
    </xf>
    <xf numFmtId="164" fontId="9" fillId="0" borderId="4" xfId="0" applyNumberFormat="1" applyFont="1" applyFill="1" applyBorder="1" applyAlignment="1">
      <alignment horizontal="right" vertical="top" shrinkToFit="1"/>
    </xf>
    <xf numFmtId="164" fontId="9" fillId="0" borderId="11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5" fontId="9" fillId="0" borderId="8" xfId="0" applyNumberFormat="1" applyFont="1" applyFill="1" applyBorder="1" applyAlignment="1">
      <alignment horizontal="left" vertical="top" wrapText="1"/>
    </xf>
    <xf numFmtId="165" fontId="24" fillId="0" borderId="8" xfId="0" applyNumberFormat="1" applyFont="1" applyFill="1" applyBorder="1" applyAlignment="1">
      <alignment vertical="top" wrapText="1"/>
    </xf>
    <xf numFmtId="165" fontId="24" fillId="0" borderId="8" xfId="0" applyNumberFormat="1" applyFont="1" applyFill="1" applyBorder="1" applyAlignment="1">
      <alignment horizontal="left" vertical="top" wrapText="1"/>
    </xf>
    <xf numFmtId="164" fontId="9" fillId="0" borderId="23" xfId="0" applyNumberFormat="1" applyFont="1" applyFill="1" applyBorder="1" applyAlignment="1">
      <alignment horizontal="right" vertical="top" shrinkToFit="1"/>
    </xf>
    <xf numFmtId="4" fontId="8" fillId="0" borderId="5" xfId="0" applyNumberFormat="1" applyFont="1" applyFill="1" applyBorder="1" applyAlignment="1">
      <alignment horizontal="right" vertical="top" shrinkToFit="1"/>
    </xf>
    <xf numFmtId="165" fontId="9" fillId="0" borderId="11" xfId="0" applyNumberFormat="1" applyFont="1" applyFill="1" applyBorder="1" applyAlignment="1">
      <alignment vertical="top" wrapText="1"/>
    </xf>
    <xf numFmtId="164" fontId="8" fillId="0" borderId="7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vertical="top" shrinkToFit="1"/>
    </xf>
    <xf numFmtId="164" fontId="8" fillId="0" borderId="10" xfId="0" applyNumberFormat="1" applyFont="1" applyFill="1" applyBorder="1" applyAlignment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165" fontId="24" fillId="0" borderId="6" xfId="0" applyNumberFormat="1" applyFont="1" applyFill="1" applyBorder="1" applyAlignment="1">
      <alignment horizontal="left" vertical="top" wrapText="1"/>
    </xf>
    <xf numFmtId="164" fontId="27" fillId="0" borderId="0" xfId="0" applyNumberFormat="1" applyFont="1" applyFill="1" applyBorder="1" applyAlignment="1">
      <alignment horizontal="left" vertical="top" shrinkToFit="1"/>
    </xf>
    <xf numFmtId="164" fontId="27" fillId="0" borderId="0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Fill="1" applyBorder="1" applyAlignment="1">
      <alignment horizontal="right" vertical="top" shrinkToFit="1"/>
    </xf>
    <xf numFmtId="164" fontId="8" fillId="2" borderId="1" xfId="0" applyNumberFormat="1" applyFont="1" applyFill="1" applyBorder="1" applyAlignment="1">
      <alignment horizontal="right" vertical="top" shrinkToFit="1"/>
    </xf>
    <xf numFmtId="164" fontId="9" fillId="2" borderId="5" xfId="0" applyNumberFormat="1" applyFont="1" applyFill="1" applyBorder="1" applyAlignment="1">
      <alignment horizontal="right" vertical="top" shrinkToFit="1"/>
    </xf>
    <xf numFmtId="164" fontId="9" fillId="2" borderId="1" xfId="0" applyNumberFormat="1" applyFont="1" applyFill="1" applyBorder="1" applyAlignment="1">
      <alignment horizontal="right" vertical="top" shrinkToFit="1"/>
    </xf>
    <xf numFmtId="164" fontId="8" fillId="2" borderId="5" xfId="0" applyNumberFormat="1" applyFont="1" applyFill="1" applyBorder="1" applyAlignment="1">
      <alignment horizontal="right" vertical="top" shrinkToFit="1"/>
    </xf>
    <xf numFmtId="164" fontId="9" fillId="6" borderId="5" xfId="0" applyNumberFormat="1" applyFont="1" applyFill="1" applyBorder="1" applyAlignment="1">
      <alignment horizontal="right" vertical="top" shrinkToFit="1"/>
    </xf>
    <xf numFmtId="3" fontId="8" fillId="0" borderId="6" xfId="0" applyNumberFormat="1" applyFont="1" applyFill="1" applyBorder="1" applyAlignment="1">
      <alignment horizontal="right" vertical="top" shrinkToFit="1"/>
    </xf>
    <xf numFmtId="165" fontId="31" fillId="0" borderId="5" xfId="0" applyNumberFormat="1" applyFont="1" applyFill="1" applyBorder="1" applyAlignment="1">
      <alignment vertical="top" wrapText="1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vertical="top"/>
    </xf>
    <xf numFmtId="0" fontId="31" fillId="0" borderId="0" xfId="0" applyFont="1" applyFill="1" applyBorder="1"/>
    <xf numFmtId="0" fontId="31" fillId="0" borderId="0" xfId="0" applyFont="1" applyFill="1"/>
    <xf numFmtId="165" fontId="31" fillId="0" borderId="0" xfId="0" applyNumberFormat="1" applyFont="1" applyFill="1" applyBorder="1"/>
    <xf numFmtId="0" fontId="31" fillId="0" borderId="0" xfId="0" applyFont="1" applyFill="1" applyAlignment="1">
      <alignment horizontal="center" wrapText="1"/>
    </xf>
    <xf numFmtId="164" fontId="31" fillId="0" borderId="0" xfId="0" applyNumberFormat="1" applyFont="1" applyFill="1" applyAlignment="1">
      <alignment horizontal="right" vertical="top" shrinkToFit="1"/>
    </xf>
    <xf numFmtId="164" fontId="32" fillId="0" borderId="0" xfId="0" applyNumberFormat="1" applyFont="1" applyFill="1" applyAlignment="1">
      <alignment horizontal="right" vertical="top" shrinkToFit="1"/>
    </xf>
    <xf numFmtId="164" fontId="32" fillId="0" borderId="0" xfId="0" applyNumberFormat="1" applyFont="1" applyFill="1" applyAlignment="1">
      <alignment horizontal="center" vertical="top" wrapText="1"/>
    </xf>
    <xf numFmtId="0" fontId="31" fillId="0" borderId="0" xfId="0" applyFont="1" applyFill="1" applyAlignment="1">
      <alignment horizontal="right" wrapText="1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vertical="top" wrapText="1"/>
    </xf>
    <xf numFmtId="4" fontId="31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wrapText="1"/>
    </xf>
    <xf numFmtId="0" fontId="31" fillId="0" borderId="0" xfId="0" applyFont="1" applyFill="1" applyBorder="1" applyAlignment="1">
      <alignment wrapText="1"/>
    </xf>
    <xf numFmtId="0" fontId="31" fillId="0" borderId="0" xfId="0" applyFont="1" applyFill="1" applyAlignment="1">
      <alignment wrapText="1"/>
    </xf>
    <xf numFmtId="164" fontId="32" fillId="0" borderId="6" xfId="0" applyNumberFormat="1" applyFont="1" applyFill="1" applyBorder="1" applyAlignment="1">
      <alignment horizontal="center" vertical="center" shrinkToFit="1"/>
    </xf>
    <xf numFmtId="1" fontId="31" fillId="0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/>
    </xf>
    <xf numFmtId="3" fontId="31" fillId="0" borderId="1" xfId="0" applyNumberFormat="1" applyFont="1" applyFill="1" applyBorder="1" applyAlignment="1">
      <alignment horizontal="center" vertical="center" shrinkToFit="1"/>
    </xf>
    <xf numFmtId="3" fontId="31" fillId="0" borderId="1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Alignment="1">
      <alignment horizontal="left" vertical="center"/>
    </xf>
    <xf numFmtId="1" fontId="31" fillId="0" borderId="0" xfId="0" applyNumberFormat="1" applyFont="1" applyFill="1" applyAlignment="1">
      <alignment horizontal="center" vertical="top"/>
    </xf>
    <xf numFmtId="1" fontId="31" fillId="0" borderId="0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Alignment="1">
      <alignment horizontal="center" vertical="center"/>
    </xf>
    <xf numFmtId="4" fontId="31" fillId="0" borderId="0" xfId="0" applyNumberFormat="1" applyFont="1" applyFill="1" applyBorder="1" applyAlignment="1">
      <alignment vertical="top"/>
    </xf>
    <xf numFmtId="165" fontId="32" fillId="0" borderId="8" xfId="0" applyNumberFormat="1" applyFont="1" applyFill="1" applyBorder="1" applyAlignment="1">
      <alignment horizontal="center" vertical="top"/>
    </xf>
    <xf numFmtId="165" fontId="32" fillId="0" borderId="0" xfId="0" applyNumberFormat="1" applyFont="1" applyFill="1" applyBorder="1" applyAlignment="1">
      <alignment vertical="top" wrapText="1"/>
    </xf>
    <xf numFmtId="164" fontId="32" fillId="0" borderId="9" xfId="0" applyNumberFormat="1" applyFont="1" applyFill="1" applyBorder="1" applyAlignment="1">
      <alignment horizontal="right" vertical="top" shrinkToFit="1"/>
    </xf>
    <xf numFmtId="164" fontId="32" fillId="0" borderId="8" xfId="0" applyNumberFormat="1" applyFont="1" applyFill="1" applyBorder="1" applyAlignment="1">
      <alignment horizontal="right" vertical="top" shrinkToFit="1"/>
    </xf>
    <xf numFmtId="165" fontId="31" fillId="0" borderId="8" xfId="0" applyNumberFormat="1" applyFont="1" applyFill="1" applyBorder="1" applyAlignment="1">
      <alignment vertical="top" wrapText="1"/>
    </xf>
    <xf numFmtId="0" fontId="31" fillId="0" borderId="10" xfId="0" applyFont="1" applyFill="1" applyBorder="1" applyAlignment="1">
      <alignment horizontal="left" vertical="center"/>
    </xf>
    <xf numFmtId="165" fontId="31" fillId="0" borderId="8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vertical="top" wrapText="1"/>
    </xf>
    <xf numFmtId="164" fontId="31" fillId="0" borderId="9" xfId="0" applyNumberFormat="1" applyFont="1" applyFill="1" applyBorder="1" applyAlignment="1">
      <alignment horizontal="right" vertical="top" shrinkToFit="1"/>
    </xf>
    <xf numFmtId="164" fontId="31" fillId="0" borderId="8" xfId="0" applyNumberFormat="1" applyFont="1" applyFill="1" applyBorder="1" applyAlignment="1">
      <alignment horizontal="right" vertical="top" shrinkToFit="1"/>
    </xf>
    <xf numFmtId="165" fontId="32" fillId="0" borderId="8" xfId="0" applyNumberFormat="1" applyFont="1" applyFill="1" applyBorder="1" applyAlignment="1">
      <alignment vertical="top" wrapText="1"/>
    </xf>
    <xf numFmtId="165" fontId="32" fillId="0" borderId="1" xfId="0" applyNumberFormat="1" applyFont="1" applyFill="1" applyBorder="1" applyAlignment="1">
      <alignment horizontal="center" vertical="top"/>
    </xf>
    <xf numFmtId="0" fontId="32" fillId="0" borderId="1" xfId="0" applyFont="1" applyFill="1" applyBorder="1" applyAlignment="1">
      <alignment vertical="top" wrapText="1"/>
    </xf>
    <xf numFmtId="164" fontId="32" fillId="0" borderId="1" xfId="0" applyNumberFormat="1" applyFont="1" applyFill="1" applyBorder="1" applyAlignment="1">
      <alignment horizontal="right" vertical="top" shrinkToFit="1"/>
    </xf>
    <xf numFmtId="164" fontId="32" fillId="0" borderId="1" xfId="0" applyNumberFormat="1" applyFont="1" applyFill="1" applyBorder="1" applyAlignment="1">
      <alignment horizontal="center" vertical="top"/>
    </xf>
    <xf numFmtId="165" fontId="31" fillId="0" borderId="1" xfId="0" applyNumberFormat="1" applyFont="1" applyFill="1" applyBorder="1" applyAlignment="1">
      <alignment horizontal="left" vertical="top" wrapText="1"/>
    </xf>
    <xf numFmtId="0" fontId="32" fillId="0" borderId="2" xfId="0" applyFont="1" applyFill="1" applyBorder="1" applyAlignment="1">
      <alignment vertical="top" wrapText="1"/>
    </xf>
    <xf numFmtId="167" fontId="31" fillId="0" borderId="5" xfId="0" applyNumberFormat="1" applyFont="1" applyFill="1" applyBorder="1" applyAlignment="1">
      <alignment horizontal="center" vertical="top" wrapText="1"/>
    </xf>
    <xf numFmtId="167" fontId="31" fillId="0" borderId="0" xfId="0" applyNumberFormat="1" applyFont="1" applyFill="1" applyAlignment="1">
      <alignment horizontal="left" vertical="center"/>
    </xf>
    <xf numFmtId="164" fontId="31" fillId="0" borderId="8" xfId="0" applyNumberFormat="1" applyFont="1" applyFill="1" applyBorder="1" applyAlignment="1">
      <alignment vertical="top" shrinkToFit="1"/>
    </xf>
    <xf numFmtId="164" fontId="32" fillId="0" borderId="8" xfId="0" applyNumberFormat="1" applyFont="1" applyFill="1" applyBorder="1" applyAlignment="1">
      <alignment vertical="top" shrinkToFit="1"/>
    </xf>
    <xf numFmtId="165" fontId="31" fillId="0" borderId="8" xfId="0" applyNumberFormat="1" applyFont="1" applyFill="1" applyBorder="1" applyAlignment="1">
      <alignment vertical="top"/>
    </xf>
    <xf numFmtId="164" fontId="32" fillId="0" borderId="8" xfId="0" applyNumberFormat="1" applyFont="1" applyFill="1" applyBorder="1" applyAlignment="1">
      <alignment vertical="top"/>
    </xf>
    <xf numFmtId="0" fontId="31" fillId="0" borderId="8" xfId="0" applyFont="1" applyFill="1" applyBorder="1" applyAlignment="1">
      <alignment vertical="top" wrapText="1"/>
    </xf>
    <xf numFmtId="0" fontId="31" fillId="0" borderId="0" xfId="0" applyFont="1" applyFill="1" applyBorder="1" applyAlignment="1">
      <alignment vertical="top"/>
    </xf>
    <xf numFmtId="165" fontId="31" fillId="0" borderId="8" xfId="0" applyNumberFormat="1" applyFont="1" applyFill="1" applyBorder="1" applyAlignment="1">
      <alignment horizontal="left" vertical="top"/>
    </xf>
    <xf numFmtId="2" fontId="31" fillId="0" borderId="9" xfId="0" applyNumberFormat="1" applyFont="1" applyFill="1" applyBorder="1" applyAlignment="1">
      <alignment horizontal="left" vertical="center"/>
    </xf>
    <xf numFmtId="0" fontId="32" fillId="0" borderId="8" xfId="0" applyFont="1" applyFill="1" applyBorder="1" applyAlignment="1">
      <alignment vertical="top" wrapText="1"/>
    </xf>
    <xf numFmtId="0" fontId="31" fillId="0" borderId="21" xfId="0" applyFont="1" applyFill="1" applyBorder="1" applyAlignment="1">
      <alignment vertical="top"/>
    </xf>
    <xf numFmtId="164" fontId="32" fillId="0" borderId="9" xfId="0" applyNumberFormat="1" applyFont="1" applyFill="1" applyBorder="1" applyAlignment="1">
      <alignment vertical="top"/>
    </xf>
    <xf numFmtId="0" fontId="31" fillId="0" borderId="23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vertical="top"/>
    </xf>
    <xf numFmtId="0" fontId="32" fillId="0" borderId="6" xfId="0" applyFont="1" applyFill="1" applyBorder="1" applyAlignment="1">
      <alignment vertical="top" wrapText="1"/>
    </xf>
    <xf numFmtId="2" fontId="31" fillId="0" borderId="7" xfId="0" applyNumberFormat="1" applyFont="1" applyFill="1" applyBorder="1" applyAlignment="1">
      <alignment horizontal="left" vertical="center"/>
    </xf>
    <xf numFmtId="165" fontId="31" fillId="0" borderId="0" xfId="0" applyNumberFormat="1" applyFont="1" applyFill="1" applyBorder="1" applyAlignment="1">
      <alignment horizontal="center" vertical="center"/>
    </xf>
    <xf numFmtId="165" fontId="31" fillId="0" borderId="6" xfId="0" applyNumberFormat="1" applyFont="1" applyFill="1" applyBorder="1" applyAlignment="1">
      <alignment horizontal="left" vertical="top"/>
    </xf>
    <xf numFmtId="165" fontId="31" fillId="0" borderId="6" xfId="0" applyNumberFormat="1" applyFont="1" applyFill="1" applyBorder="1" applyAlignment="1">
      <alignment vertical="top" wrapText="1"/>
    </xf>
    <xf numFmtId="165" fontId="31" fillId="0" borderId="1" xfId="0" applyNumberFormat="1" applyFont="1" applyFill="1" applyBorder="1" applyAlignment="1">
      <alignment horizontal="center" vertical="top"/>
    </xf>
    <xf numFmtId="164" fontId="31" fillId="0" borderId="1" xfId="0" applyNumberFormat="1" applyFont="1" applyFill="1" applyBorder="1" applyAlignment="1">
      <alignment horizontal="right" vertical="top" shrinkToFit="1"/>
    </xf>
    <xf numFmtId="165" fontId="31" fillId="0" borderId="0" xfId="0" applyNumberFormat="1" applyFont="1" applyFill="1" applyAlignment="1">
      <alignment horizontal="left" vertical="center"/>
    </xf>
    <xf numFmtId="2" fontId="31" fillId="0" borderId="0" xfId="0" applyNumberFormat="1" applyFont="1" applyFill="1" applyAlignment="1">
      <alignment horizontal="left" vertical="center"/>
    </xf>
    <xf numFmtId="0" fontId="31" fillId="0" borderId="0" xfId="0" applyFont="1" applyFill="1" applyAlignment="1">
      <alignment vertical="center"/>
    </xf>
    <xf numFmtId="0" fontId="32" fillId="0" borderId="2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vertical="top" wrapText="1"/>
    </xf>
    <xf numFmtId="0" fontId="31" fillId="0" borderId="9" xfId="0" applyFont="1" applyFill="1" applyBorder="1" applyAlignment="1">
      <alignment horizontal="left" vertical="top" wrapText="1"/>
    </xf>
    <xf numFmtId="0" fontId="31" fillId="0" borderId="7" xfId="0" applyFont="1" applyFill="1" applyBorder="1" applyAlignment="1">
      <alignment vertical="top" wrapText="1"/>
    </xf>
    <xf numFmtId="4" fontId="31" fillId="0" borderId="0" xfId="0" applyNumberFormat="1" applyFont="1" applyFill="1" applyBorder="1" applyAlignment="1">
      <alignment vertical="center"/>
    </xf>
    <xf numFmtId="0" fontId="31" fillId="0" borderId="9" xfId="0" applyFont="1" applyFill="1" applyBorder="1" applyAlignment="1">
      <alignment vertical="top" wrapText="1"/>
    </xf>
    <xf numFmtId="0" fontId="31" fillId="0" borderId="5" xfId="0" applyFont="1" applyFill="1" applyBorder="1" applyAlignment="1">
      <alignment vertical="top" wrapText="1"/>
    </xf>
    <xf numFmtId="0" fontId="31" fillId="0" borderId="22" xfId="0" applyFont="1" applyFill="1" applyBorder="1" applyAlignment="1">
      <alignment horizontal="left" vertical="center"/>
    </xf>
    <xf numFmtId="0" fontId="31" fillId="0" borderId="6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vertical="top" wrapText="1"/>
    </xf>
    <xf numFmtId="164" fontId="31" fillId="0" borderId="23" xfId="0" applyNumberFormat="1" applyFont="1" applyFill="1" applyBorder="1" applyAlignment="1">
      <alignment horizontal="right" vertical="top" shrinkToFit="1"/>
    </xf>
    <xf numFmtId="165" fontId="31" fillId="0" borderId="10" xfId="0" applyNumberFormat="1" applyFont="1" applyFill="1" applyBorder="1" applyAlignment="1">
      <alignment horizontal="left" vertical="center"/>
    </xf>
    <xf numFmtId="0" fontId="32" fillId="0" borderId="5" xfId="0" applyFont="1" applyFill="1" applyBorder="1" applyAlignment="1">
      <alignment vertical="top" wrapText="1"/>
    </xf>
    <xf numFmtId="4" fontId="31" fillId="0" borderId="0" xfId="0" applyNumberFormat="1" applyFont="1" applyFill="1" applyBorder="1" applyAlignment="1">
      <alignment horizontal="left" vertical="top"/>
    </xf>
    <xf numFmtId="0" fontId="32" fillId="0" borderId="8" xfId="0" applyFont="1" applyFill="1" applyBorder="1" applyAlignment="1">
      <alignment horizontal="left" vertical="top" wrapText="1"/>
    </xf>
    <xf numFmtId="49" fontId="31" fillId="0" borderId="7" xfId="0" applyNumberFormat="1" applyFont="1" applyFill="1" applyBorder="1" applyAlignment="1">
      <alignment horizontal="center" vertical="top"/>
    </xf>
    <xf numFmtId="49" fontId="31" fillId="0" borderId="9" xfId="0" applyNumberFormat="1" applyFont="1" applyFill="1" applyBorder="1" applyAlignment="1">
      <alignment horizontal="center" vertical="top"/>
    </xf>
    <xf numFmtId="164" fontId="31" fillId="0" borderId="6" xfId="0" applyNumberFormat="1" applyFont="1" applyFill="1" applyBorder="1" applyAlignment="1">
      <alignment vertical="top" shrinkToFit="1"/>
    </xf>
    <xf numFmtId="164" fontId="32" fillId="0" borderId="6" xfId="0" applyNumberFormat="1" applyFont="1" applyFill="1" applyBorder="1" applyAlignment="1">
      <alignment vertical="top" shrinkToFit="1"/>
    </xf>
    <xf numFmtId="164" fontId="32" fillId="0" borderId="10" xfId="0" applyNumberFormat="1" applyFont="1" applyFill="1" applyBorder="1" applyAlignment="1">
      <alignment vertical="top"/>
    </xf>
    <xf numFmtId="0" fontId="31" fillId="0" borderId="11" xfId="0" applyFont="1" applyFill="1" applyBorder="1" applyAlignment="1">
      <alignment vertical="top"/>
    </xf>
    <xf numFmtId="49" fontId="32" fillId="0" borderId="5" xfId="0" applyNumberFormat="1" applyFont="1" applyFill="1" applyBorder="1" applyAlignment="1">
      <alignment horizontal="center" vertical="top"/>
    </xf>
    <xf numFmtId="49" fontId="32" fillId="0" borderId="8" xfId="0" applyNumberFormat="1" applyFont="1" applyFill="1" applyBorder="1" applyAlignment="1">
      <alignment horizontal="center" vertical="top"/>
    </xf>
    <xf numFmtId="49" fontId="31" fillId="0" borderId="8" xfId="0" applyNumberFormat="1" applyFont="1" applyFill="1" applyBorder="1" applyAlignment="1">
      <alignment vertical="top"/>
    </xf>
    <xf numFmtId="2" fontId="31" fillId="0" borderId="10" xfId="0" applyNumberFormat="1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top" wrapText="1"/>
    </xf>
    <xf numFmtId="165" fontId="32" fillId="0" borderId="1" xfId="0" applyNumberFormat="1" applyFont="1" applyFill="1" applyBorder="1" applyAlignment="1">
      <alignment horizontal="center" vertical="top" wrapText="1"/>
    </xf>
    <xf numFmtId="165" fontId="31" fillId="0" borderId="1" xfId="0" applyNumberFormat="1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vertical="top" wrapText="1"/>
    </xf>
    <xf numFmtId="49" fontId="31" fillId="0" borderId="1" xfId="0" applyNumberFormat="1" applyFont="1" applyFill="1" applyBorder="1" applyAlignment="1">
      <alignment horizontal="center" vertical="top" wrapText="1"/>
    </xf>
    <xf numFmtId="165" fontId="31" fillId="0" borderId="7" xfId="0" applyNumberFormat="1" applyFont="1" applyFill="1" applyBorder="1" applyAlignment="1">
      <alignment horizontal="left" vertical="center"/>
    </xf>
    <xf numFmtId="165" fontId="31" fillId="0" borderId="5" xfId="0" applyNumberFormat="1" applyFont="1" applyFill="1" applyBorder="1" applyAlignment="1">
      <alignment horizontal="center" vertical="top" wrapText="1"/>
    </xf>
    <xf numFmtId="165" fontId="31" fillId="0" borderId="8" xfId="0" applyNumberFormat="1" applyFont="1" applyFill="1" applyBorder="1" applyAlignment="1">
      <alignment horizontal="center" vertical="top" wrapText="1"/>
    </xf>
    <xf numFmtId="165" fontId="32" fillId="0" borderId="2" xfId="0" applyNumberFormat="1" applyFont="1" applyFill="1" applyBorder="1" applyAlignment="1">
      <alignment horizontal="center" vertical="top" wrapText="1"/>
    </xf>
    <xf numFmtId="2" fontId="31" fillId="0" borderId="11" xfId="0" applyNumberFormat="1" applyFont="1" applyFill="1" applyBorder="1" applyAlignment="1">
      <alignment vertical="top"/>
    </xf>
    <xf numFmtId="4" fontId="31" fillId="0" borderId="0" xfId="0" applyNumberFormat="1" applyFont="1" applyFill="1" applyBorder="1"/>
    <xf numFmtId="0" fontId="31" fillId="0" borderId="0" xfId="0" applyFont="1" applyFill="1" applyBorder="1" applyAlignment="1">
      <alignment vertical="center"/>
    </xf>
    <xf numFmtId="165" fontId="31" fillId="0" borderId="0" xfId="0" applyNumberFormat="1" applyFont="1" applyFill="1" applyBorder="1" applyAlignment="1">
      <alignment vertical="top"/>
    </xf>
    <xf numFmtId="165" fontId="32" fillId="0" borderId="0" xfId="0" applyNumberFormat="1" applyFont="1" applyFill="1" applyBorder="1" applyAlignment="1">
      <alignment horizontal="left" vertical="top" wrapText="1"/>
    </xf>
    <xf numFmtId="164" fontId="32" fillId="0" borderId="0" xfId="0" applyNumberFormat="1" applyFont="1" applyFill="1" applyBorder="1" applyAlignment="1">
      <alignment horizontal="right" vertical="top" shrinkToFit="1"/>
    </xf>
    <xf numFmtId="164" fontId="32" fillId="0" borderId="0" xfId="0" applyNumberFormat="1" applyFont="1" applyFill="1" applyBorder="1" applyAlignment="1">
      <alignment horizontal="center" vertical="top"/>
    </xf>
    <xf numFmtId="4" fontId="32" fillId="0" borderId="0" xfId="0" applyNumberFormat="1" applyFont="1" applyFill="1" applyBorder="1" applyAlignment="1">
      <alignment horizontal="right" vertical="top" shrinkToFit="1"/>
    </xf>
    <xf numFmtId="0" fontId="31" fillId="0" borderId="0" xfId="0" applyFont="1" applyFill="1" applyAlignment="1">
      <alignment horizontal="left"/>
    </xf>
    <xf numFmtId="164" fontId="32" fillId="0" borderId="0" xfId="0" applyNumberFormat="1" applyFont="1" applyFill="1" applyBorder="1" applyAlignment="1">
      <alignment horizontal="left" vertical="top" shrinkToFit="1"/>
    </xf>
    <xf numFmtId="49" fontId="31" fillId="0" borderId="0" xfId="0" applyNumberFormat="1" applyFont="1" applyFill="1" applyAlignment="1">
      <alignment horizontal="left"/>
    </xf>
    <xf numFmtId="164" fontId="31" fillId="0" borderId="0" xfId="0" applyNumberFormat="1" applyFont="1" applyFill="1" applyAlignment="1">
      <alignment horizontal="left" vertical="top" shrinkToFit="1"/>
    </xf>
    <xf numFmtId="164" fontId="31" fillId="0" borderId="0" xfId="0" applyNumberFormat="1" applyFont="1" applyFill="1" applyBorder="1" applyAlignment="1">
      <alignment horizontal="left" vertical="top" shrinkToFit="1"/>
    </xf>
    <xf numFmtId="164" fontId="31" fillId="0" borderId="0" xfId="0" applyNumberFormat="1" applyFont="1" applyFill="1" applyBorder="1" applyAlignment="1">
      <alignment horizontal="right" vertical="top" shrinkToFit="1"/>
    </xf>
    <xf numFmtId="164" fontId="32" fillId="0" borderId="0" xfId="0" applyNumberFormat="1" applyFont="1" applyFill="1" applyAlignment="1">
      <alignment horizontal="center" vertical="top"/>
    </xf>
    <xf numFmtId="164" fontId="31" fillId="0" borderId="0" xfId="0" applyNumberFormat="1" applyFont="1" applyFill="1" applyAlignment="1">
      <alignment horizontal="left" vertical="top"/>
    </xf>
    <xf numFmtId="0" fontId="33" fillId="0" borderId="0" xfId="0" applyFont="1" applyFill="1" applyAlignment="1">
      <alignment horizontal="center"/>
    </xf>
    <xf numFmtId="0" fontId="31" fillId="0" borderId="0" xfId="0" applyNumberFormat="1" applyFont="1" applyFill="1" applyAlignment="1">
      <alignment wrapText="1"/>
    </xf>
    <xf numFmtId="0" fontId="31" fillId="0" borderId="0" xfId="0" applyNumberFormat="1" applyFont="1" applyFill="1"/>
    <xf numFmtId="1" fontId="32" fillId="0" borderId="1" xfId="0" applyNumberFormat="1" applyFont="1" applyFill="1" applyBorder="1" applyAlignment="1">
      <alignment horizontal="center" vertical="top"/>
    </xf>
    <xf numFmtId="4" fontId="31" fillId="0" borderId="0" xfId="0" applyNumberFormat="1" applyFont="1" applyFill="1" applyBorder="1" applyAlignment="1">
      <alignment horizontal="center" vertical="top"/>
    </xf>
    <xf numFmtId="165" fontId="32" fillId="0" borderId="6" xfId="0" applyNumberFormat="1" applyFont="1" applyFill="1" applyBorder="1" applyAlignment="1">
      <alignment horizontal="center" vertical="top"/>
    </xf>
    <xf numFmtId="164" fontId="32" fillId="0" borderId="5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right" vertical="top" shrinkToFit="1"/>
    </xf>
    <xf numFmtId="164" fontId="31" fillId="0" borderId="5" xfId="0" applyNumberFormat="1" applyFont="1" applyFill="1" applyBorder="1" applyAlignment="1">
      <alignment horizontal="right" vertical="top" shrinkToFit="1"/>
    </xf>
    <xf numFmtId="164" fontId="31" fillId="0" borderId="6" xfId="0" applyNumberFormat="1" applyFont="1" applyFill="1" applyBorder="1" applyAlignment="1">
      <alignment horizontal="right" vertical="top" shrinkToFit="1"/>
    </xf>
    <xf numFmtId="164" fontId="32" fillId="0" borderId="8" xfId="0" applyNumberFormat="1" applyFont="1" applyFill="1" applyBorder="1" applyAlignment="1">
      <alignment horizontal="center" vertical="top"/>
    </xf>
    <xf numFmtId="165" fontId="32" fillId="0" borderId="11" xfId="0" applyNumberFormat="1" applyFont="1" applyFill="1" applyBorder="1" applyAlignment="1">
      <alignment vertical="top" wrapText="1"/>
    </xf>
    <xf numFmtId="0" fontId="31" fillId="0" borderId="7" xfId="0" applyFont="1" applyFill="1" applyBorder="1" applyAlignment="1">
      <alignment horizontal="left" vertical="center"/>
    </xf>
    <xf numFmtId="165" fontId="32" fillId="0" borderId="5" xfId="0" applyNumberFormat="1" applyFont="1" applyFill="1" applyBorder="1" applyAlignment="1">
      <alignment horizontal="center" vertical="top"/>
    </xf>
    <xf numFmtId="0" fontId="31" fillId="0" borderId="22" xfId="0" applyFont="1" applyFill="1" applyBorder="1" applyAlignment="1">
      <alignment vertical="top"/>
    </xf>
    <xf numFmtId="0" fontId="31" fillId="0" borderId="23" xfId="0" applyFont="1" applyFill="1" applyBorder="1" applyAlignment="1">
      <alignment vertical="top"/>
    </xf>
    <xf numFmtId="167" fontId="31" fillId="0" borderId="0" xfId="0" applyNumberFormat="1" applyFont="1" applyFill="1" applyBorder="1" applyAlignment="1">
      <alignment horizontal="center" vertical="top"/>
    </xf>
    <xf numFmtId="4" fontId="31" fillId="0" borderId="21" xfId="0" applyNumberFormat="1" applyFont="1" applyFill="1" applyBorder="1" applyAlignment="1">
      <alignment horizontal="center" vertical="top"/>
    </xf>
    <xf numFmtId="168" fontId="31" fillId="0" borderId="11" xfId="0" applyNumberFormat="1" applyFont="1" applyFill="1" applyBorder="1" applyAlignment="1">
      <alignment horizontal="center" vertical="center"/>
    </xf>
    <xf numFmtId="168" fontId="31" fillId="0" borderId="7" xfId="0" applyNumberFormat="1" applyFont="1" applyFill="1" applyBorder="1" applyAlignment="1">
      <alignment horizontal="left" vertical="center"/>
    </xf>
    <xf numFmtId="168" fontId="31" fillId="0" borderId="9" xfId="0" applyNumberFormat="1" applyFont="1" applyFill="1" applyBorder="1" applyAlignment="1">
      <alignment horizontal="left" vertical="center"/>
    </xf>
    <xf numFmtId="168" fontId="31" fillId="0" borderId="9" xfId="0" applyNumberFormat="1" applyFont="1" applyFill="1" applyBorder="1" applyAlignment="1">
      <alignment horizontal="left" vertical="center" wrapText="1"/>
    </xf>
    <xf numFmtId="166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/>
    <xf numFmtId="0" fontId="31" fillId="0" borderId="9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left" vertical="center"/>
    </xf>
    <xf numFmtId="4" fontId="31" fillId="0" borderId="11" xfId="0" applyNumberFormat="1" applyFont="1" applyFill="1" applyBorder="1" applyAlignment="1">
      <alignment horizontal="center" vertical="top"/>
    </xf>
    <xf numFmtId="164" fontId="32" fillId="0" borderId="5" xfId="0" applyNumberFormat="1" applyFont="1" applyFill="1" applyBorder="1" applyAlignment="1">
      <alignment horizontal="center" vertical="top"/>
    </xf>
    <xf numFmtId="164" fontId="32" fillId="0" borderId="6" xfId="0" applyNumberFormat="1" applyFont="1" applyFill="1" applyBorder="1" applyAlignment="1">
      <alignment horizontal="center" vertical="top"/>
    </xf>
    <xf numFmtId="168" fontId="31" fillId="0" borderId="11" xfId="0" applyNumberFormat="1" applyFont="1" applyFill="1" applyBorder="1" applyAlignment="1">
      <alignment horizontal="center" vertical="top"/>
    </xf>
    <xf numFmtId="165" fontId="32" fillId="0" borderId="1" xfId="0" applyNumberFormat="1" applyFont="1" applyFill="1" applyBorder="1" applyAlignment="1">
      <alignment vertical="top" wrapText="1"/>
    </xf>
    <xf numFmtId="164" fontId="32" fillId="0" borderId="0" xfId="0" applyNumberFormat="1" applyFont="1" applyFill="1" applyBorder="1" applyAlignment="1">
      <alignment horizontal="right" shrinkToFit="1"/>
    </xf>
    <xf numFmtId="165" fontId="32" fillId="0" borderId="9" xfId="0" applyNumberFormat="1" applyFont="1" applyFill="1" applyBorder="1" applyAlignment="1">
      <alignment horizontal="center" vertical="top"/>
    </xf>
    <xf numFmtId="165" fontId="32" fillId="0" borderId="9" xfId="0" applyNumberFormat="1" applyFont="1" applyFill="1" applyBorder="1" applyAlignment="1">
      <alignment vertical="top" wrapText="1"/>
    </xf>
    <xf numFmtId="0" fontId="31" fillId="0" borderId="0" xfId="0" applyFont="1" applyFill="1" applyBorder="1" applyAlignment="1">
      <alignment horizontal="left" vertical="center"/>
    </xf>
    <xf numFmtId="0" fontId="32" fillId="0" borderId="10" xfId="0" applyFont="1" applyFill="1" applyBorder="1" applyAlignment="1">
      <alignment vertical="top" wrapText="1"/>
    </xf>
    <xf numFmtId="2" fontId="31" fillId="0" borderId="0" xfId="0" applyNumberFormat="1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top"/>
    </xf>
    <xf numFmtId="0" fontId="31" fillId="0" borderId="0" xfId="0" applyNumberFormat="1" applyFont="1" applyFill="1" applyBorder="1"/>
    <xf numFmtId="0" fontId="31" fillId="0" borderId="0" xfId="0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center"/>
    </xf>
    <xf numFmtId="4" fontId="31" fillId="0" borderId="21" xfId="0" applyNumberFormat="1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center" vertical="center" wrapText="1"/>
    </xf>
    <xf numFmtId="4" fontId="31" fillId="0" borderId="22" xfId="0" applyNumberFormat="1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left" vertical="top"/>
    </xf>
    <xf numFmtId="4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center" vertical="center"/>
    </xf>
    <xf numFmtId="165" fontId="32" fillId="0" borderId="5" xfId="0" applyNumberFormat="1" applyFont="1" applyFill="1" applyBorder="1" applyAlignment="1">
      <alignment horizontal="left" vertical="top" wrapText="1"/>
    </xf>
    <xf numFmtId="165" fontId="32" fillId="0" borderId="8" xfId="0" applyNumberFormat="1" applyFont="1" applyFill="1" applyBorder="1" applyAlignment="1">
      <alignment horizontal="left" vertical="top" wrapText="1"/>
    </xf>
    <xf numFmtId="0" fontId="31" fillId="0" borderId="0" xfId="0" applyFont="1" applyFill="1" applyAlignment="1"/>
    <xf numFmtId="0" fontId="32" fillId="0" borderId="5" xfId="0" applyFont="1" applyFill="1" applyBorder="1" applyAlignment="1">
      <alignment horizontal="left" vertical="top" wrapText="1"/>
    </xf>
    <xf numFmtId="0" fontId="31" fillId="0" borderId="5" xfId="0" applyFont="1" applyFill="1" applyBorder="1" applyAlignment="1">
      <alignment horizontal="left" vertical="top" wrapText="1"/>
    </xf>
    <xf numFmtId="165" fontId="31" fillId="0" borderId="5" xfId="0" applyNumberFormat="1" applyFont="1" applyFill="1" applyBorder="1" applyAlignment="1">
      <alignment horizontal="center" vertical="top"/>
    </xf>
    <xf numFmtId="165" fontId="31" fillId="0" borderId="6" xfId="0" applyNumberFormat="1" applyFont="1" applyFill="1" applyBorder="1" applyAlignment="1">
      <alignment horizontal="center" vertical="top"/>
    </xf>
    <xf numFmtId="0" fontId="0" fillId="7" borderId="0" xfId="0" applyFill="1"/>
    <xf numFmtId="0" fontId="0" fillId="2" borderId="0" xfId="0" applyFill="1"/>
    <xf numFmtId="164" fontId="32" fillId="0" borderId="7" xfId="0" applyNumberFormat="1" applyFont="1" applyFill="1" applyBorder="1" applyAlignment="1">
      <alignment horizontal="right" vertical="top" shrinkToFit="1"/>
    </xf>
    <xf numFmtId="165" fontId="33" fillId="0" borderId="8" xfId="0" applyNumberFormat="1" applyFont="1" applyFill="1" applyBorder="1" applyAlignment="1">
      <alignment vertical="top" wrapText="1"/>
    </xf>
    <xf numFmtId="165" fontId="32" fillId="0" borderId="6" xfId="0" applyNumberFormat="1" applyFont="1" applyFill="1" applyBorder="1" applyAlignment="1">
      <alignment vertical="top" wrapText="1"/>
    </xf>
    <xf numFmtId="165" fontId="32" fillId="0" borderId="1" xfId="0" applyNumberFormat="1" applyFont="1" applyFill="1" applyBorder="1" applyAlignment="1">
      <alignment horizontal="left" vertical="top" wrapText="1"/>
    </xf>
    <xf numFmtId="164" fontId="31" fillId="0" borderId="5" xfId="0" applyNumberFormat="1" applyFont="1" applyFill="1" applyBorder="1" applyAlignment="1">
      <alignment vertical="top" shrinkToFit="1"/>
    </xf>
    <xf numFmtId="164" fontId="32" fillId="0" borderId="5" xfId="0" applyNumberFormat="1" applyFont="1" applyFill="1" applyBorder="1" applyAlignment="1">
      <alignment vertical="top" shrinkToFit="1"/>
    </xf>
    <xf numFmtId="165" fontId="31" fillId="0" borderId="5" xfId="0" applyNumberFormat="1" applyFont="1" applyFill="1" applyBorder="1" applyAlignment="1">
      <alignment horizontal="left" vertical="top" wrapText="1"/>
    </xf>
    <xf numFmtId="0" fontId="33" fillId="0" borderId="8" xfId="0" applyFont="1" applyFill="1" applyBorder="1" applyAlignment="1">
      <alignment vertical="top" wrapText="1"/>
    </xf>
    <xf numFmtId="0" fontId="33" fillId="0" borderId="8" xfId="0" applyFont="1" applyFill="1" applyBorder="1" applyAlignment="1">
      <alignment horizontal="left" vertical="top" wrapText="1"/>
    </xf>
    <xf numFmtId="0" fontId="31" fillId="0" borderId="8" xfId="0" applyNumberFormat="1" applyFont="1" applyFill="1" applyBorder="1" applyAlignment="1">
      <alignment horizontal="left" vertical="top" wrapText="1"/>
    </xf>
    <xf numFmtId="165" fontId="31" fillId="0" borderId="21" xfId="0" applyNumberFormat="1" applyFont="1" applyFill="1" applyBorder="1" applyAlignment="1">
      <alignment vertical="top" wrapText="1"/>
    </xf>
    <xf numFmtId="165" fontId="33" fillId="0" borderId="21" xfId="0" applyNumberFormat="1" applyFont="1" applyFill="1" applyBorder="1" applyAlignment="1">
      <alignment vertical="top" wrapText="1"/>
    </xf>
    <xf numFmtId="165" fontId="32" fillId="0" borderId="21" xfId="0" applyNumberFormat="1" applyFont="1" applyFill="1" applyBorder="1" applyAlignment="1">
      <alignment vertical="top" wrapText="1"/>
    </xf>
    <xf numFmtId="164" fontId="31" fillId="0" borderId="12" xfId="0" applyNumberFormat="1" applyFont="1" applyFill="1" applyBorder="1" applyAlignment="1">
      <alignment horizontal="right" vertical="top" shrinkToFit="1"/>
    </xf>
    <xf numFmtId="165" fontId="33" fillId="0" borderId="8" xfId="0" applyNumberFormat="1" applyFont="1" applyFill="1" applyBorder="1" applyAlignment="1">
      <alignment horizontal="left" vertical="top" wrapText="1"/>
    </xf>
    <xf numFmtId="165" fontId="32" fillId="0" borderId="5" xfId="0" applyNumberFormat="1" applyFont="1" applyFill="1" applyBorder="1" applyAlignment="1">
      <alignment vertical="top" wrapText="1"/>
    </xf>
    <xf numFmtId="165" fontId="31" fillId="0" borderId="8" xfId="0" applyNumberFormat="1" applyFont="1" applyFill="1" applyBorder="1" applyAlignment="1">
      <alignment horizontal="left" vertical="top" wrapText="1"/>
    </xf>
    <xf numFmtId="4" fontId="32" fillId="0" borderId="5" xfId="0" applyNumberFormat="1" applyFont="1" applyFill="1" applyBorder="1" applyAlignment="1">
      <alignment horizontal="right" vertical="top" shrinkToFit="1"/>
    </xf>
    <xf numFmtId="165" fontId="31" fillId="0" borderId="11" xfId="0" applyNumberFormat="1" applyFont="1" applyFill="1" applyBorder="1" applyAlignment="1">
      <alignment vertical="top" wrapText="1"/>
    </xf>
    <xf numFmtId="164" fontId="32" fillId="0" borderId="7" xfId="0" applyNumberFormat="1" applyFont="1" applyFill="1" applyBorder="1" applyAlignment="1">
      <alignment horizontal="center" vertical="top"/>
    </xf>
    <xf numFmtId="164" fontId="32" fillId="0" borderId="9" xfId="0" applyNumberFormat="1" applyFont="1" applyFill="1" applyBorder="1" applyAlignment="1">
      <alignment horizontal="center" vertical="top"/>
    </xf>
    <xf numFmtId="0" fontId="31" fillId="0" borderId="8" xfId="0" applyFont="1" applyFill="1" applyBorder="1" applyAlignment="1">
      <alignment horizontal="left" vertical="top" wrapText="1"/>
    </xf>
    <xf numFmtId="165" fontId="33" fillId="0" borderId="6" xfId="0" applyNumberFormat="1" applyFont="1" applyFill="1" applyBorder="1" applyAlignment="1">
      <alignment horizontal="left" vertical="top" wrapText="1"/>
    </xf>
    <xf numFmtId="165" fontId="31" fillId="0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Fill="1" applyBorder="1" applyAlignment="1">
      <alignment vertical="top" wrapText="1"/>
    </xf>
    <xf numFmtId="164" fontId="32" fillId="0" borderId="1" xfId="0" applyNumberFormat="1" applyFont="1" applyFill="1" applyBorder="1" applyAlignment="1">
      <alignment horizontal="right" vertical="center" shrinkToFit="1"/>
    </xf>
    <xf numFmtId="164" fontId="32" fillId="0" borderId="1" xfId="0" applyNumberFormat="1" applyFont="1" applyFill="1" applyBorder="1" applyAlignment="1">
      <alignment horizontal="center" vertical="center"/>
    </xf>
    <xf numFmtId="165" fontId="31" fillId="0" borderId="1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horizontal="center" vertical="top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left" vertical="center" wrapText="1"/>
    </xf>
    <xf numFmtId="164" fontId="4" fillId="0" borderId="8" xfId="0" applyNumberFormat="1" applyFont="1" applyFill="1" applyBorder="1" applyAlignment="1">
      <alignment horizontal="center" vertical="top" shrinkToFit="1"/>
    </xf>
    <xf numFmtId="164" fontId="4" fillId="0" borderId="6" xfId="0" applyNumberFormat="1" applyFont="1" applyFill="1" applyBorder="1" applyAlignment="1">
      <alignment horizontal="center" vertical="top" shrinkToFit="1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center" vertical="top" wrapText="1"/>
    </xf>
    <xf numFmtId="165" fontId="4" fillId="0" borderId="6" xfId="0" applyNumberFormat="1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4" fontId="2" fillId="3" borderId="19" xfId="0" applyNumberFormat="1" applyFont="1" applyFill="1" applyBorder="1" applyAlignment="1">
      <alignment horizontal="center" vertical="top"/>
    </xf>
    <xf numFmtId="4" fontId="2" fillId="3" borderId="20" xfId="0" applyNumberFormat="1" applyFont="1" applyFill="1" applyBorder="1" applyAlignment="1">
      <alignment horizontal="center" vertical="top"/>
    </xf>
    <xf numFmtId="0" fontId="2" fillId="0" borderId="0" xfId="0" applyFont="1" applyFill="1" applyAlignment="1"/>
    <xf numFmtId="0" fontId="18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shrinkToFit="1"/>
    </xf>
    <xf numFmtId="164" fontId="4" fillId="0" borderId="3" xfId="0" applyNumberFormat="1" applyFont="1" applyFill="1" applyBorder="1" applyAlignment="1">
      <alignment horizontal="center" vertical="center" shrinkToFit="1"/>
    </xf>
    <xf numFmtId="164" fontId="4" fillId="0" borderId="4" xfId="0" applyNumberFormat="1" applyFont="1" applyFill="1" applyBorder="1" applyAlignment="1">
      <alignment horizontal="center" vertical="center" shrinkToFi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164" fontId="2" fillId="0" borderId="8" xfId="0" applyNumberFormat="1" applyFont="1" applyFill="1" applyBorder="1" applyAlignment="1">
      <alignment horizontal="center" vertical="top" shrinkToFit="1"/>
    </xf>
    <xf numFmtId="164" fontId="2" fillId="0" borderId="6" xfId="0" applyNumberFormat="1" applyFont="1" applyFill="1" applyBorder="1" applyAlignment="1">
      <alignment horizontal="center" vertical="top" shrinkToFit="1"/>
    </xf>
    <xf numFmtId="4" fontId="2" fillId="0" borderId="0" xfId="0" applyNumberFormat="1" applyFont="1" applyFill="1" applyAlignment="1">
      <alignment horizontal="center" vertical="top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left" vertical="center" wrapText="1"/>
    </xf>
    <xf numFmtId="165" fontId="8" fillId="0" borderId="4" xfId="0" applyNumberFormat="1" applyFont="1" applyFill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9" fillId="0" borderId="11" xfId="0" applyFont="1" applyFill="1" applyBorder="1" applyAlignment="1">
      <alignment horizontal="left" vertical="top"/>
    </xf>
    <xf numFmtId="0" fontId="9" fillId="0" borderId="21" xfId="0" applyFont="1" applyFill="1" applyBorder="1" applyAlignment="1">
      <alignment horizontal="left" vertical="top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/>
    </xf>
    <xf numFmtId="165" fontId="8" fillId="0" borderId="5" xfId="0" applyNumberFormat="1" applyFont="1" applyFill="1" applyBorder="1" applyAlignment="1">
      <alignment horizontal="center" vertical="top" wrapText="1"/>
    </xf>
    <xf numFmtId="165" fontId="8" fillId="0" borderId="6" xfId="0" applyNumberFormat="1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left" vertical="top" wrapTex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center" vertical="top" shrinkToFit="1"/>
    </xf>
    <xf numFmtId="164" fontId="8" fillId="0" borderId="6" xfId="0" applyNumberFormat="1" applyFont="1" applyFill="1" applyBorder="1" applyAlignment="1">
      <alignment horizontal="center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left" vertical="top"/>
    </xf>
    <xf numFmtId="4" fontId="9" fillId="0" borderId="9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top"/>
    </xf>
    <xf numFmtId="0" fontId="9" fillId="0" borderId="21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4" fontId="9" fillId="0" borderId="11" xfId="0" applyNumberFormat="1" applyFont="1" applyFill="1" applyBorder="1" applyAlignment="1">
      <alignment horizontal="center" vertical="top" wrapText="1"/>
    </xf>
    <xf numFmtId="4" fontId="9" fillId="0" borderId="21" xfId="0" applyNumberFormat="1" applyFont="1" applyFill="1" applyBorder="1" applyAlignment="1">
      <alignment horizontal="center" vertical="top" wrapText="1"/>
    </xf>
    <xf numFmtId="4" fontId="9" fillId="0" borderId="12" xfId="0" applyNumberFormat="1" applyFont="1" applyFill="1" applyBorder="1" applyAlignment="1">
      <alignment horizontal="center" vertical="top" wrapText="1"/>
    </xf>
    <xf numFmtId="4" fontId="9" fillId="0" borderId="2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left" vertical="top"/>
    </xf>
    <xf numFmtId="2" fontId="9" fillId="0" borderId="21" xfId="0" applyNumberFormat="1" applyFont="1" applyFill="1" applyBorder="1" applyAlignment="1">
      <alignment horizontal="left" vertical="top"/>
    </xf>
    <xf numFmtId="2" fontId="9" fillId="0" borderId="12" xfId="0" applyNumberFormat="1" applyFont="1" applyFill="1" applyBorder="1" applyAlignment="1">
      <alignment horizontal="left" vertical="top"/>
    </xf>
    <xf numFmtId="164" fontId="8" fillId="0" borderId="8" xfId="0" applyNumberFormat="1" applyFont="1" applyFill="1" applyBorder="1" applyAlignment="1">
      <alignment horizontal="center" vertical="top" shrinkToFit="1"/>
    </xf>
    <xf numFmtId="164" fontId="8" fillId="0" borderId="8" xfId="0" applyNumberFormat="1" applyFont="1" applyFill="1" applyBorder="1" applyAlignment="1">
      <alignment horizontal="center" vertical="top"/>
    </xf>
    <xf numFmtId="0" fontId="9" fillId="0" borderId="22" xfId="0" applyFont="1" applyFill="1" applyBorder="1" applyAlignment="1">
      <alignment horizontal="left" vertical="top"/>
    </xf>
    <xf numFmtId="0" fontId="9" fillId="0" borderId="23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top"/>
    </xf>
    <xf numFmtId="164" fontId="9" fillId="0" borderId="8" xfId="0" applyNumberFormat="1" applyFont="1" applyFill="1" applyBorder="1" applyAlignment="1">
      <alignment horizontal="center" vertical="top" shrinkToFit="1"/>
    </xf>
    <xf numFmtId="164" fontId="9" fillId="0" borderId="6" xfId="0" applyNumberFormat="1" applyFont="1" applyFill="1" applyBorder="1" applyAlignment="1">
      <alignment horizontal="center" vertical="top" shrinkToFit="1"/>
    </xf>
    <xf numFmtId="0" fontId="9" fillId="0" borderId="9" xfId="0" applyFont="1" applyFill="1" applyBorder="1" applyAlignment="1">
      <alignment horizontal="center" vertical="center"/>
    </xf>
    <xf numFmtId="165" fontId="9" fillId="0" borderId="8" xfId="0" applyNumberFormat="1" applyFont="1" applyFill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164" fontId="9" fillId="0" borderId="5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10" xfId="0" applyNumberFormat="1" applyFont="1" applyFill="1" applyBorder="1" applyAlignment="1">
      <alignment horizontal="right" vertical="top" shrinkToFit="1"/>
    </xf>
    <xf numFmtId="0" fontId="9" fillId="0" borderId="7" xfId="0" applyFont="1" applyFill="1" applyBorder="1" applyAlignment="1">
      <alignment horizontal="left" vertical="center"/>
    </xf>
    <xf numFmtId="2" fontId="9" fillId="0" borderId="1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shrinkToFit="1"/>
    </xf>
    <xf numFmtId="164" fontId="8" fillId="0" borderId="3" xfId="0" applyNumberFormat="1" applyFont="1" applyFill="1" applyBorder="1" applyAlignment="1">
      <alignment horizontal="center" vertical="center" shrinkToFit="1"/>
    </xf>
    <xf numFmtId="164" fontId="8" fillId="0" borderId="4" xfId="0" applyNumberFormat="1" applyFont="1" applyFill="1" applyBorder="1" applyAlignment="1">
      <alignment horizontal="center" vertical="center" shrinkToFit="1"/>
    </xf>
    <xf numFmtId="164" fontId="8" fillId="0" borderId="5" xfId="0" applyNumberFormat="1" applyFont="1" applyFill="1" applyBorder="1" applyAlignment="1">
      <alignment horizontal="center" vertical="top" wrapText="1"/>
    </xf>
    <xf numFmtId="164" fontId="8" fillId="0" borderId="6" xfId="0" applyNumberFormat="1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>
      <alignment horizontal="center" vertical="center" shrinkToFit="1"/>
    </xf>
    <xf numFmtId="164" fontId="32" fillId="0" borderId="3" xfId="0" applyNumberFormat="1" applyFont="1" applyFill="1" applyBorder="1" applyAlignment="1">
      <alignment horizontal="center" vertical="center" shrinkToFit="1"/>
    </xf>
    <xf numFmtId="164" fontId="32" fillId="0" borderId="4" xfId="0" applyNumberFormat="1" applyFont="1" applyFill="1" applyBorder="1" applyAlignment="1">
      <alignment horizontal="center" vertical="center" shrinkToFit="1"/>
    </xf>
    <xf numFmtId="164" fontId="32" fillId="0" borderId="5" xfId="0" applyNumberFormat="1" applyFont="1" applyFill="1" applyBorder="1" applyAlignment="1">
      <alignment horizontal="center" vertical="top" wrapText="1"/>
    </xf>
    <xf numFmtId="164" fontId="32" fillId="0" borderId="6" xfId="0" applyNumberFormat="1" applyFont="1" applyFill="1" applyBorder="1" applyAlignment="1">
      <alignment horizontal="center" vertical="top" wrapText="1"/>
    </xf>
    <xf numFmtId="0" fontId="31" fillId="0" borderId="22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top"/>
    </xf>
    <xf numFmtId="0" fontId="31" fillId="0" borderId="23" xfId="0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center"/>
    </xf>
    <xf numFmtId="4" fontId="31" fillId="0" borderId="21" xfId="0" applyNumberFormat="1" applyFont="1" applyFill="1" applyBorder="1" applyAlignment="1">
      <alignment horizontal="center" vertical="center"/>
    </xf>
    <xf numFmtId="2" fontId="31" fillId="0" borderId="11" xfId="0" applyNumberFormat="1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center" wrapText="1"/>
    </xf>
    <xf numFmtId="4" fontId="31" fillId="0" borderId="21" xfId="0" applyNumberFormat="1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top"/>
    </xf>
    <xf numFmtId="0" fontId="31" fillId="0" borderId="12" xfId="0" applyFont="1" applyFill="1" applyBorder="1" applyAlignment="1">
      <alignment horizontal="center" vertical="top"/>
    </xf>
    <xf numFmtId="4" fontId="31" fillId="0" borderId="22" xfId="0" applyNumberFormat="1" applyFont="1" applyFill="1" applyBorder="1" applyAlignment="1">
      <alignment horizontal="center" vertical="center"/>
    </xf>
    <xf numFmtId="4" fontId="31" fillId="0" borderId="23" xfId="0" applyNumberFormat="1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left" vertical="top"/>
    </xf>
    <xf numFmtId="0" fontId="31" fillId="0" borderId="21" xfId="0" applyFont="1" applyFill="1" applyBorder="1" applyAlignment="1">
      <alignment horizontal="left" vertical="top"/>
    </xf>
    <xf numFmtId="0" fontId="31" fillId="0" borderId="12" xfId="0" applyFont="1" applyFill="1" applyBorder="1" applyAlignment="1">
      <alignment horizontal="left" vertical="top"/>
    </xf>
    <xf numFmtId="4" fontId="31" fillId="0" borderId="0" xfId="0" applyNumberFormat="1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left" vertical="top"/>
    </xf>
    <xf numFmtId="0" fontId="31" fillId="0" borderId="23" xfId="0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center" vertical="center"/>
    </xf>
    <xf numFmtId="167" fontId="31" fillId="0" borderId="11" xfId="0" applyNumberFormat="1" applyFont="1" applyFill="1" applyBorder="1" applyAlignment="1">
      <alignment horizontal="center" vertical="top"/>
    </xf>
    <xf numFmtId="167" fontId="31" fillId="0" borderId="21" xfId="0" applyNumberFormat="1" applyFont="1" applyFill="1" applyBorder="1" applyAlignment="1">
      <alignment horizontal="center" vertical="top"/>
    </xf>
    <xf numFmtId="167" fontId="31" fillId="0" borderId="12" xfId="0" applyNumberFormat="1" applyFont="1" applyFill="1" applyBorder="1" applyAlignment="1">
      <alignment horizontal="center" vertical="top"/>
    </xf>
    <xf numFmtId="0" fontId="31" fillId="0" borderId="12" xfId="0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4" fontId="31" fillId="0" borderId="11" xfId="0" applyNumberFormat="1" applyFont="1" applyFill="1" applyBorder="1" applyAlignment="1">
      <alignment horizontal="center" vertical="top" wrapText="1"/>
    </xf>
    <xf numFmtId="4" fontId="31" fillId="0" borderId="21" xfId="0" applyNumberFormat="1" applyFont="1" applyFill="1" applyBorder="1" applyAlignment="1">
      <alignment horizontal="center" vertical="top" wrapText="1"/>
    </xf>
    <xf numFmtId="165" fontId="32" fillId="0" borderId="5" xfId="0" applyNumberFormat="1" applyFont="1" applyFill="1" applyBorder="1" applyAlignment="1">
      <alignment horizontal="left" vertical="top" wrapText="1"/>
    </xf>
    <xf numFmtId="165" fontId="32" fillId="0" borderId="8" xfId="0" applyNumberFormat="1" applyFont="1" applyFill="1" applyBorder="1" applyAlignment="1">
      <alignment horizontal="left" vertical="top" wrapText="1"/>
    </xf>
    <xf numFmtId="4" fontId="31" fillId="0" borderId="12" xfId="0" applyNumberFormat="1" applyFont="1" applyFill="1" applyBorder="1" applyAlignment="1">
      <alignment horizontal="center" vertical="center" wrapText="1"/>
    </xf>
    <xf numFmtId="2" fontId="31" fillId="0" borderId="11" xfId="0" applyNumberFormat="1" applyFont="1" applyFill="1" applyBorder="1" applyAlignment="1">
      <alignment horizontal="left" vertical="top"/>
    </xf>
    <xf numFmtId="2" fontId="31" fillId="0" borderId="21" xfId="0" applyNumberFormat="1" applyFont="1" applyFill="1" applyBorder="1" applyAlignment="1">
      <alignment horizontal="left" vertical="top"/>
    </xf>
    <xf numFmtId="2" fontId="31" fillId="0" borderId="12" xfId="0" applyNumberFormat="1" applyFont="1" applyFill="1" applyBorder="1" applyAlignment="1">
      <alignment horizontal="left" vertical="top"/>
    </xf>
    <xf numFmtId="0" fontId="31" fillId="0" borderId="21" xfId="0" applyFont="1" applyFill="1" applyBorder="1" applyAlignment="1">
      <alignment horizontal="center" vertical="center"/>
    </xf>
    <xf numFmtId="0" fontId="31" fillId="0" borderId="0" xfId="0" applyFont="1" applyFill="1" applyAlignment="1"/>
    <xf numFmtId="165" fontId="32" fillId="0" borderId="5" xfId="0" applyNumberFormat="1" applyFont="1" applyFill="1" applyBorder="1" applyAlignment="1">
      <alignment horizontal="center" vertical="top" wrapText="1"/>
    </xf>
    <xf numFmtId="165" fontId="32" fillId="0" borderId="6" xfId="0" applyNumberFormat="1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left" vertical="top" wrapText="1"/>
    </xf>
    <xf numFmtId="0" fontId="32" fillId="0" borderId="6" xfId="0" applyFont="1" applyFill="1" applyBorder="1" applyAlignment="1">
      <alignment horizontal="left" vertical="top" wrapText="1"/>
    </xf>
    <xf numFmtId="4" fontId="31" fillId="0" borderId="9" xfId="0" applyNumberFormat="1" applyFont="1" applyFill="1" applyBorder="1" applyAlignment="1">
      <alignment horizontal="center" vertical="center"/>
    </xf>
    <xf numFmtId="165" fontId="32" fillId="0" borderId="2" xfId="0" applyNumberFormat="1" applyFont="1" applyFill="1" applyBorder="1" applyAlignment="1">
      <alignment horizontal="left" vertical="center" wrapText="1"/>
    </xf>
    <xf numFmtId="165" fontId="32" fillId="0" borderId="4" xfId="0" applyNumberFormat="1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top" wrapText="1"/>
    </xf>
    <xf numFmtId="0" fontId="31" fillId="0" borderId="6" xfId="0" applyFont="1" applyFill="1" applyBorder="1" applyAlignment="1">
      <alignment horizontal="left" vertical="top" wrapText="1"/>
    </xf>
    <xf numFmtId="165" fontId="31" fillId="0" borderId="5" xfId="0" applyNumberFormat="1" applyFont="1" applyFill="1" applyBorder="1" applyAlignment="1">
      <alignment horizontal="center" vertical="top"/>
    </xf>
    <xf numFmtId="165" fontId="31" fillId="0" borderId="6" xfId="0" applyNumberFormat="1" applyFont="1" applyFill="1" applyBorder="1" applyAlignment="1">
      <alignment horizontal="center" vertical="top"/>
    </xf>
    <xf numFmtId="164" fontId="32" fillId="0" borderId="5" xfId="0" applyNumberFormat="1" applyFont="1" applyFill="1" applyBorder="1" applyAlignment="1">
      <alignment horizontal="center" vertical="top"/>
    </xf>
    <xf numFmtId="164" fontId="32" fillId="0" borderId="6" xfId="0" applyNumberFormat="1" applyFont="1" applyFill="1" applyBorder="1" applyAlignment="1">
      <alignment horizontal="center" vertical="top"/>
    </xf>
    <xf numFmtId="164" fontId="32" fillId="0" borderId="5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right" vertical="top" shrinkToFit="1"/>
    </xf>
    <xf numFmtId="164" fontId="32" fillId="0" borderId="5" xfId="0" applyNumberFormat="1" applyFont="1" applyFill="1" applyBorder="1" applyAlignment="1">
      <alignment horizontal="center" vertical="top" shrinkToFit="1"/>
    </xf>
    <xf numFmtId="164" fontId="32" fillId="0" borderId="6" xfId="0" applyNumberFormat="1" applyFont="1" applyFill="1" applyBorder="1" applyAlignment="1">
      <alignment horizontal="center" vertical="top" shrinkToFit="1"/>
    </xf>
    <xf numFmtId="164" fontId="31" fillId="0" borderId="5" xfId="0" applyNumberFormat="1" applyFont="1" applyFill="1" applyBorder="1" applyAlignment="1">
      <alignment horizontal="center" vertical="top" shrinkToFit="1"/>
    </xf>
    <xf numFmtId="164" fontId="31" fillId="0" borderId="6" xfId="0" applyNumberFormat="1" applyFont="1" applyFill="1" applyBorder="1" applyAlignment="1">
      <alignment horizontal="center" vertical="top" shrinkToFit="1"/>
    </xf>
    <xf numFmtId="164" fontId="31" fillId="0" borderId="5" xfId="0" applyNumberFormat="1" applyFont="1" applyFill="1" applyBorder="1" applyAlignment="1">
      <alignment vertical="top" shrinkToFit="1"/>
    </xf>
    <xf numFmtId="164" fontId="31" fillId="0" borderId="6" xfId="0" applyNumberFormat="1" applyFont="1" applyFill="1" applyBorder="1" applyAlignment="1">
      <alignment vertical="top" shrinkToFit="1"/>
    </xf>
    <xf numFmtId="164" fontId="32" fillId="0" borderId="5" xfId="0" applyNumberFormat="1" applyFont="1" applyFill="1" applyBorder="1" applyAlignment="1">
      <alignment vertical="top" shrinkToFit="1"/>
    </xf>
    <xf numFmtId="164" fontId="32" fillId="0" borderId="6" xfId="0" applyNumberFormat="1" applyFont="1" applyFill="1" applyBorder="1" applyAlignment="1">
      <alignment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3300"/>
      <color rgb="FF00FFFF"/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1033"/>
  <sheetViews>
    <sheetView view="pageBreakPreview" zoomScale="50" zoomScaleNormal="75" zoomScaleSheetLayoutView="50" workbookViewId="0">
      <pane ySplit="5" topLeftCell="A138" activePane="bottomLeft" state="frozen"/>
      <selection pane="bottomLeft" activeCell="C140" sqref="C140"/>
    </sheetView>
  </sheetViews>
  <sheetFormatPr defaultColWidth="9.140625" defaultRowHeight="18.75"/>
  <cols>
    <col min="1" max="1" width="7.5703125" style="1" customWidth="1"/>
    <col min="2" max="2" width="38.7109375" style="1" customWidth="1"/>
    <col min="3" max="5" width="19" style="167" bestFit="1" customWidth="1"/>
    <col min="6" max="6" width="21.28515625" style="168" bestFit="1" customWidth="1"/>
    <col min="7" max="7" width="22.28515625" style="167" customWidth="1"/>
    <col min="8" max="8" width="20.140625" style="167" customWidth="1"/>
    <col min="9" max="9" width="20.28515625" style="167" customWidth="1"/>
    <col min="10" max="10" width="19" style="168" bestFit="1" customWidth="1"/>
    <col min="11" max="11" width="20.85546875" style="91" customWidth="1"/>
    <col min="12" max="12" width="134.5703125" style="67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17.42578125" style="68" bestFit="1" customWidth="1"/>
    <col min="17" max="17" width="15.42578125" style="1" customWidth="1"/>
    <col min="18" max="18" width="13.28515625" style="1" customWidth="1"/>
    <col min="19" max="19" width="12.5703125" style="1" customWidth="1"/>
    <col min="20" max="20" width="15.5703125" style="1" customWidth="1"/>
    <col min="21" max="21" width="11" style="1" customWidth="1"/>
    <col min="22" max="22" width="10.42578125" style="1" customWidth="1"/>
    <col min="23" max="24" width="9.140625" style="1"/>
    <col min="25" max="25" width="11" style="1" customWidth="1"/>
    <col min="26" max="26" width="10.7109375" style="1" customWidth="1"/>
    <col min="27" max="29" width="9.140625" style="1"/>
    <col min="30" max="30" width="10.7109375" style="1" customWidth="1"/>
    <col min="31" max="34" width="9.140625" style="1"/>
    <col min="35" max="35" width="10.85546875" style="1" customWidth="1"/>
    <col min="36" max="36" width="13.85546875" style="1" customWidth="1"/>
    <col min="37" max="37" width="11.42578125" style="1" customWidth="1"/>
    <col min="38" max="39" width="9.140625" style="1"/>
    <col min="40" max="40" width="12.42578125" style="1" customWidth="1"/>
    <col min="41" max="69" width="9.140625" style="1"/>
    <col min="70" max="70" width="21.85546875" style="1" customWidth="1"/>
    <col min="71" max="16384" width="9.140625" style="1"/>
  </cols>
  <sheetData>
    <row r="1" spans="1:17" ht="33.75" customHeight="1">
      <c r="A1" s="613" t="s">
        <v>92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</row>
    <row r="2" spans="1:17" ht="34.5" customHeight="1">
      <c r="A2" s="613" t="s">
        <v>106</v>
      </c>
      <c r="B2" s="613"/>
      <c r="C2" s="613"/>
      <c r="D2" s="613"/>
      <c r="E2" s="613"/>
      <c r="F2" s="613"/>
      <c r="G2" s="613"/>
      <c r="H2" s="613"/>
      <c r="I2" s="613"/>
      <c r="J2" s="613"/>
      <c r="K2" s="613"/>
      <c r="L2" s="613"/>
    </row>
    <row r="3" spans="1:17" ht="20.25" customHeight="1">
      <c r="A3" s="4"/>
      <c r="B3" s="4"/>
      <c r="K3" s="129"/>
      <c r="L3" s="130" t="s">
        <v>16</v>
      </c>
    </row>
    <row r="4" spans="1:17" s="5" customFormat="1" ht="30" customHeight="1">
      <c r="A4" s="614" t="s">
        <v>17</v>
      </c>
      <c r="B4" s="614" t="s">
        <v>18</v>
      </c>
      <c r="C4" s="616" t="s">
        <v>19</v>
      </c>
      <c r="D4" s="617"/>
      <c r="E4" s="617"/>
      <c r="F4" s="618"/>
      <c r="G4" s="616" t="s">
        <v>0</v>
      </c>
      <c r="H4" s="617"/>
      <c r="I4" s="617"/>
      <c r="J4" s="618"/>
      <c r="K4" s="619" t="s">
        <v>86</v>
      </c>
      <c r="L4" s="614" t="s">
        <v>20</v>
      </c>
      <c r="M4" s="5" t="s">
        <v>88</v>
      </c>
      <c r="P4" s="72"/>
    </row>
    <row r="5" spans="1:17" s="5" customFormat="1" ht="28.5" customHeight="1">
      <c r="A5" s="615"/>
      <c r="B5" s="615"/>
      <c r="C5" s="169" t="s">
        <v>21</v>
      </c>
      <c r="D5" s="169" t="s">
        <v>22</v>
      </c>
      <c r="E5" s="169" t="s">
        <v>23</v>
      </c>
      <c r="F5" s="169" t="s">
        <v>24</v>
      </c>
      <c r="G5" s="169" t="s">
        <v>21</v>
      </c>
      <c r="H5" s="169" t="s">
        <v>22</v>
      </c>
      <c r="I5" s="169" t="s">
        <v>23</v>
      </c>
      <c r="J5" s="169" t="s">
        <v>24</v>
      </c>
      <c r="K5" s="620"/>
      <c r="L5" s="615"/>
      <c r="P5" s="72"/>
    </row>
    <row r="6" spans="1:17" s="75" customFormat="1" ht="18.75" customHeight="1" thickBot="1">
      <c r="A6" s="73">
        <v>1</v>
      </c>
      <c r="B6" s="74">
        <v>2</v>
      </c>
      <c r="C6" s="170">
        <v>3</v>
      </c>
      <c r="D6" s="170">
        <v>4</v>
      </c>
      <c r="E6" s="170">
        <v>5</v>
      </c>
      <c r="F6" s="170">
        <v>6</v>
      </c>
      <c r="G6" s="170">
        <v>7</v>
      </c>
      <c r="H6" s="170">
        <v>8</v>
      </c>
      <c r="I6" s="170">
        <v>9</v>
      </c>
      <c r="J6" s="170">
        <v>10</v>
      </c>
      <c r="K6" s="74">
        <v>11</v>
      </c>
      <c r="L6" s="74">
        <v>12</v>
      </c>
      <c r="P6" s="79"/>
    </row>
    <row r="7" spans="1:17" ht="161.44999999999999" customHeight="1">
      <c r="A7" s="58" t="s">
        <v>25</v>
      </c>
      <c r="B7" s="26" t="s">
        <v>90</v>
      </c>
      <c r="C7" s="199">
        <f>12565.82699+0.1</f>
        <v>12565.92699</v>
      </c>
      <c r="D7" s="199">
        <v>2169.3153200000002</v>
      </c>
      <c r="E7" s="199">
        <v>321.83751999999998</v>
      </c>
      <c r="F7" s="199">
        <f>E7+D7+C7-0.1</f>
        <v>15056.97983</v>
      </c>
      <c r="G7" s="199">
        <v>11873.20441</v>
      </c>
      <c r="H7" s="199">
        <v>2069.2577000000001</v>
      </c>
      <c r="I7" s="199">
        <v>321.83751999999998</v>
      </c>
      <c r="J7" s="199">
        <f>G7+H7+I7</f>
        <v>14264.29963</v>
      </c>
      <c r="K7" s="109">
        <f>J7/F7*100</f>
        <v>94.735463493013128</v>
      </c>
      <c r="L7" s="8" t="s">
        <v>189</v>
      </c>
      <c r="P7" s="141">
        <f>243+1294.2</f>
        <v>1537.2</v>
      </c>
      <c r="Q7" s="142">
        <f>P7+P8+P9</f>
        <v>14264.300000000003</v>
      </c>
    </row>
    <row r="8" spans="1:17" ht="105" customHeight="1">
      <c r="A8" s="77"/>
      <c r="B8" s="78"/>
      <c r="C8" s="171"/>
      <c r="D8" s="171"/>
      <c r="E8" s="171"/>
      <c r="F8" s="171"/>
      <c r="G8" s="171"/>
      <c r="H8" s="171"/>
      <c r="I8" s="171"/>
      <c r="J8" s="171"/>
      <c r="K8" s="110"/>
      <c r="L8" s="12" t="s">
        <v>128</v>
      </c>
      <c r="P8" s="143">
        <f>415.2+30+120+4</f>
        <v>569.20000000000005</v>
      </c>
      <c r="Q8" s="144"/>
    </row>
    <row r="9" spans="1:17" ht="234" customHeight="1" thickBot="1">
      <c r="A9" s="23"/>
      <c r="B9" s="53"/>
      <c r="C9" s="172"/>
      <c r="D9" s="173"/>
      <c r="E9" s="173"/>
      <c r="F9" s="174"/>
      <c r="G9" s="173"/>
      <c r="H9" s="173"/>
      <c r="I9" s="173"/>
      <c r="J9" s="174"/>
      <c r="K9" s="128"/>
      <c r="L9" s="28" t="s">
        <v>165</v>
      </c>
      <c r="P9" s="145">
        <f>6009.4+11.8+1741.8+115.7+416+120.2+163.2+2.2+22+288.3+975.8+28+6.7+0.2+190.7+2065.9</f>
        <v>12157.900000000003</v>
      </c>
      <c r="Q9" s="146"/>
    </row>
    <row r="10" spans="1:17" ht="97.9" customHeight="1">
      <c r="A10" s="10" t="s">
        <v>26</v>
      </c>
      <c r="B10" s="156" t="s">
        <v>85</v>
      </c>
      <c r="C10" s="200">
        <v>35.178980000000003</v>
      </c>
      <c r="D10" s="200"/>
      <c r="E10" s="200"/>
      <c r="F10" s="200">
        <f>E10+D10+C10</f>
        <v>35.178980000000003</v>
      </c>
      <c r="G10" s="200">
        <v>18.286989999999999</v>
      </c>
      <c r="H10" s="200"/>
      <c r="I10" s="200"/>
      <c r="J10" s="200">
        <f>SUM(G10:I10)</f>
        <v>18.286989999999999</v>
      </c>
      <c r="K10" s="109">
        <f>J10/F10*100</f>
        <v>51.982718089040667</v>
      </c>
      <c r="L10" s="131" t="s">
        <v>112</v>
      </c>
    </row>
    <row r="11" spans="1:17" ht="57" customHeight="1">
      <c r="A11" s="10" t="s">
        <v>27</v>
      </c>
      <c r="B11" s="157" t="s">
        <v>84</v>
      </c>
      <c r="C11" s="200">
        <f t="shared" ref="C11:J11" si="0">C12+C39+C44</f>
        <v>411671.1961</v>
      </c>
      <c r="D11" s="200">
        <f t="shared" si="0"/>
        <v>695654.91963000002</v>
      </c>
      <c r="E11" s="200">
        <f t="shared" si="0"/>
        <v>72686.301000000007</v>
      </c>
      <c r="F11" s="200">
        <f t="shared" si="0"/>
        <v>1180012.4167300002</v>
      </c>
      <c r="G11" s="200">
        <f t="shared" si="0"/>
        <v>392782.30194999999</v>
      </c>
      <c r="H11" s="200">
        <f t="shared" si="0"/>
        <v>686901.35687999998</v>
      </c>
      <c r="I11" s="200">
        <f t="shared" si="0"/>
        <v>70289.759820000007</v>
      </c>
      <c r="J11" s="200">
        <f t="shared" si="0"/>
        <v>1149973.51865</v>
      </c>
      <c r="K11" s="99">
        <f>J11*100/F11</f>
        <v>97.454357458098386</v>
      </c>
      <c r="L11" s="163"/>
    </row>
    <row r="12" spans="1:17" ht="144" customHeight="1">
      <c r="A12" s="6" t="s">
        <v>58</v>
      </c>
      <c r="B12" s="8" t="s">
        <v>33</v>
      </c>
      <c r="C12" s="165">
        <v>345818.87904999999</v>
      </c>
      <c r="D12" s="165">
        <v>695654.91963000002</v>
      </c>
      <c r="E12" s="165">
        <v>72686.301000000007</v>
      </c>
      <c r="F12" s="166">
        <f>E12+D12+C12</f>
        <v>1114160.09968</v>
      </c>
      <c r="G12" s="165">
        <f>328132.19918</f>
        <v>328132.19918</v>
      </c>
      <c r="H12" s="165">
        <f>686901.45688-0.1</f>
        <v>686901.35687999998</v>
      </c>
      <c r="I12" s="165">
        <v>70289.759820000007</v>
      </c>
      <c r="J12" s="166">
        <f>G12+H12+I12+0.1</f>
        <v>1085323.41588</v>
      </c>
      <c r="K12" s="109">
        <f>J12*100/F12</f>
        <v>97.411800709046915</v>
      </c>
      <c r="L12" s="163" t="s">
        <v>190</v>
      </c>
      <c r="P12" s="95">
        <f>32922.5+67.7+219.9+9544+2126.9+642+6216.6+271.8+2258</f>
        <v>54269.4</v>
      </c>
    </row>
    <row r="13" spans="1:17" ht="37.5" hidden="1">
      <c r="A13" s="11"/>
      <c r="B13" s="12"/>
      <c r="C13" s="175"/>
      <c r="D13" s="175"/>
      <c r="E13" s="175"/>
      <c r="F13" s="176"/>
      <c r="G13" s="175"/>
      <c r="H13" s="175"/>
      <c r="I13" s="175"/>
      <c r="J13" s="176"/>
      <c r="K13" s="110"/>
      <c r="L13" s="61" t="s">
        <v>93</v>
      </c>
    </row>
    <row r="14" spans="1:17" ht="176.25" customHeight="1">
      <c r="A14" s="11"/>
      <c r="B14" s="12"/>
      <c r="C14" s="175"/>
      <c r="D14" s="175"/>
      <c r="E14" s="175"/>
      <c r="F14" s="176"/>
      <c r="G14" s="175"/>
      <c r="H14" s="175"/>
      <c r="I14" s="175"/>
      <c r="J14" s="176"/>
      <c r="K14" s="110"/>
      <c r="L14" s="12" t="s">
        <v>105</v>
      </c>
      <c r="P14" s="95">
        <f>36.8+178.6+206.1+509.5+2805.1</f>
        <v>3736.1</v>
      </c>
    </row>
    <row r="15" spans="1:17" ht="399" customHeight="1">
      <c r="A15" s="13"/>
      <c r="B15" s="12"/>
      <c r="C15" s="175"/>
      <c r="D15" s="175"/>
      <c r="E15" s="175"/>
      <c r="F15" s="176"/>
      <c r="G15" s="175"/>
      <c r="H15" s="175"/>
      <c r="I15" s="175"/>
      <c r="J15" s="176"/>
      <c r="K15" s="110"/>
      <c r="L15" s="12" t="s">
        <v>202</v>
      </c>
      <c r="P15" s="595">
        <f>1204.5+457.1+583.6+430.7+925.5+1.5+27+15.6+753.6+830.3+1131.3+182.3+29.3+281.4+2937.5+767.9+748.7+50+82.6+59.8+825+23.4</f>
        <v>12348.6</v>
      </c>
    </row>
    <row r="16" spans="1:17" ht="179.25" customHeight="1">
      <c r="A16" s="13"/>
      <c r="B16" s="12"/>
      <c r="C16" s="175"/>
      <c r="D16" s="175"/>
      <c r="E16" s="175"/>
      <c r="F16" s="176"/>
      <c r="G16" s="175"/>
      <c r="H16" s="175"/>
      <c r="I16" s="175"/>
      <c r="J16" s="176"/>
      <c r="K16" s="110"/>
      <c r="L16" s="12" t="s">
        <v>166</v>
      </c>
      <c r="P16" s="595"/>
    </row>
    <row r="17" spans="1:70" hidden="1">
      <c r="A17" s="13"/>
      <c r="B17" s="12"/>
      <c r="C17" s="175"/>
      <c r="D17" s="175"/>
      <c r="E17" s="175"/>
      <c r="F17" s="176"/>
      <c r="G17" s="175"/>
      <c r="H17" s="175"/>
      <c r="I17" s="175"/>
      <c r="J17" s="176"/>
      <c r="K17" s="110"/>
      <c r="L17" s="62"/>
    </row>
    <row r="18" spans="1:70" ht="106.5" customHeight="1">
      <c r="A18" s="13"/>
      <c r="B18" s="12"/>
      <c r="C18" s="175"/>
      <c r="D18" s="175"/>
      <c r="E18" s="175"/>
      <c r="F18" s="176"/>
      <c r="G18" s="175"/>
      <c r="H18" s="175"/>
      <c r="I18" s="175"/>
      <c r="J18" s="176"/>
      <c r="K18" s="110"/>
      <c r="L18" s="12" t="s">
        <v>117</v>
      </c>
      <c r="P18" s="95">
        <f>127121.7+43.6+1707.9+882.6+710.6</f>
        <v>130466.40000000001</v>
      </c>
    </row>
    <row r="19" spans="1:70" ht="45" customHeight="1">
      <c r="A19" s="13"/>
      <c r="B19" s="12"/>
      <c r="C19" s="175"/>
      <c r="D19" s="175"/>
      <c r="E19" s="175"/>
      <c r="F19" s="176"/>
      <c r="G19" s="175"/>
      <c r="H19" s="175"/>
      <c r="I19" s="175"/>
      <c r="J19" s="176"/>
      <c r="K19" s="110"/>
      <c r="L19" s="71" t="s">
        <v>103</v>
      </c>
      <c r="P19" s="95">
        <f>1020.4+1020.4</f>
        <v>2040.8</v>
      </c>
    </row>
    <row r="20" spans="1:70" hidden="1">
      <c r="A20" s="13"/>
      <c r="B20" s="12"/>
      <c r="C20" s="175"/>
      <c r="D20" s="175"/>
      <c r="E20" s="175"/>
      <c r="F20" s="176"/>
      <c r="G20" s="175"/>
      <c r="H20" s="175"/>
      <c r="I20" s="175"/>
      <c r="J20" s="176"/>
      <c r="K20" s="110"/>
      <c r="L20" s="62"/>
    </row>
    <row r="21" spans="1:70" hidden="1">
      <c r="A21" s="13"/>
      <c r="B21" s="12"/>
      <c r="C21" s="175"/>
      <c r="D21" s="175"/>
      <c r="E21" s="175"/>
      <c r="F21" s="176"/>
      <c r="G21" s="175"/>
      <c r="H21" s="175"/>
      <c r="I21" s="175"/>
      <c r="J21" s="176"/>
      <c r="K21" s="110"/>
      <c r="L21" s="61"/>
    </row>
    <row r="22" spans="1:70" ht="121.5" customHeight="1">
      <c r="A22" s="13"/>
      <c r="B22" s="12"/>
      <c r="C22" s="175"/>
      <c r="D22" s="175"/>
      <c r="E22" s="175"/>
      <c r="F22" s="176"/>
      <c r="G22" s="175"/>
      <c r="H22" s="175"/>
      <c r="I22" s="175"/>
      <c r="J22" s="176"/>
      <c r="K22" s="110"/>
      <c r="L22" s="12" t="s">
        <v>119</v>
      </c>
      <c r="P22" s="95">
        <f>52296.6+223.6+2779.8+39280.9+97.9+11253.8+4551.8+26817.7+1046.2+13481.9</f>
        <v>151830.20000000001</v>
      </c>
    </row>
    <row r="23" spans="1:70" ht="63" customHeight="1">
      <c r="A23" s="13"/>
      <c r="B23" s="12"/>
      <c r="C23" s="175"/>
      <c r="D23" s="175"/>
      <c r="E23" s="175"/>
      <c r="F23" s="176"/>
      <c r="G23" s="175"/>
      <c r="H23" s="175"/>
      <c r="I23" s="175"/>
      <c r="J23" s="176"/>
      <c r="K23" s="110"/>
      <c r="L23" s="71" t="s">
        <v>118</v>
      </c>
      <c r="P23" s="95">
        <v>17</v>
      </c>
    </row>
    <row r="24" spans="1:70" ht="159.75" customHeight="1">
      <c r="A24" s="13"/>
      <c r="B24" s="12"/>
      <c r="C24" s="175"/>
      <c r="D24" s="175"/>
      <c r="E24" s="175"/>
      <c r="F24" s="176"/>
      <c r="G24" s="175"/>
      <c r="H24" s="175"/>
      <c r="I24" s="175"/>
      <c r="J24" s="176"/>
      <c r="K24" s="110"/>
      <c r="L24" s="12" t="s">
        <v>167</v>
      </c>
      <c r="P24" s="95">
        <f>20+17.4+19.4+398.6+98+74.4+3015.5</f>
        <v>3643.3</v>
      </c>
    </row>
    <row r="25" spans="1:70" ht="408" customHeight="1">
      <c r="A25" s="13"/>
      <c r="B25" s="12"/>
      <c r="C25" s="175"/>
      <c r="D25" s="175"/>
      <c r="E25" s="175"/>
      <c r="F25" s="176"/>
      <c r="G25" s="175"/>
      <c r="H25" s="175"/>
      <c r="I25" s="175"/>
      <c r="J25" s="176"/>
      <c r="K25" s="137"/>
      <c r="L25" s="164" t="s">
        <v>191</v>
      </c>
      <c r="Q25" s="68"/>
      <c r="T25" s="68"/>
    </row>
    <row r="26" spans="1:70" ht="409.6" customHeight="1">
      <c r="A26" s="13"/>
      <c r="B26" s="12"/>
      <c r="C26" s="175"/>
      <c r="D26" s="175"/>
      <c r="E26" s="175"/>
      <c r="F26" s="176"/>
      <c r="G26" s="175"/>
      <c r="H26" s="175"/>
      <c r="I26" s="175"/>
      <c r="J26" s="176"/>
      <c r="K26" s="133"/>
      <c r="L26" s="134" t="s">
        <v>203</v>
      </c>
      <c r="P26" s="68">
        <f>224.7+43.4+186.2+1021.4+120.4+314.4+119.6</f>
        <v>2030.1</v>
      </c>
      <c r="Q26" s="68">
        <v>227</v>
      </c>
      <c r="R26" s="81">
        <v>3</v>
      </c>
      <c r="S26" s="81">
        <f>43.9+574.8+392.1+500+234.7+448.7+1746.5+643.9</f>
        <v>4584.5999999999995</v>
      </c>
      <c r="T26" s="81">
        <f>90+84+644.8+665.8+313.2+108.8+174.5+19.8+226.6+265.5+648.7+91.9+264.4+319.3+45.7</f>
        <v>3963</v>
      </c>
      <c r="U26" s="81">
        <f>673.8+120+17+97+128.9+183.2+76.6+72.6+130.9+49.2</f>
        <v>1549.2</v>
      </c>
      <c r="V26" s="81">
        <f>125+158.7+124.2+247.6+34+45.3+72</f>
        <v>806.8</v>
      </c>
      <c r="W26" s="81">
        <v>38</v>
      </c>
      <c r="X26" s="81">
        <v>9.1</v>
      </c>
      <c r="Y26" s="81">
        <f>266+1059.5+2280.5</f>
        <v>3606</v>
      </c>
      <c r="Z26" s="81">
        <f>96.2+34.2+134.6+25.7+36.3+56.8+78.7</f>
        <v>462.5</v>
      </c>
      <c r="AA26" s="81">
        <f>115.6+149.8</f>
        <v>265.39999999999998</v>
      </c>
      <c r="AB26" s="81">
        <v>586.29999999999995</v>
      </c>
      <c r="AC26" s="81">
        <f>106+134+128+30+67+77.5+105</f>
        <v>647.5</v>
      </c>
      <c r="AD26" s="81">
        <f>50.5+70+29.9</f>
        <v>150.4</v>
      </c>
      <c r="AE26" s="81">
        <f>23.3+42.9+7+38.5+29.4+21.6+140</f>
        <v>302.7</v>
      </c>
      <c r="AF26" s="81">
        <f>32+4+4+7+12+7+10+4+6</f>
        <v>86</v>
      </c>
      <c r="AG26" s="81">
        <v>527.1</v>
      </c>
      <c r="AH26" s="81">
        <f>1.7+19+6.3+5.7+2.2+0.9+1.8</f>
        <v>37.6</v>
      </c>
      <c r="AI26" s="81">
        <f>51.5+34+18.2</f>
        <v>103.7</v>
      </c>
      <c r="AJ26" s="136">
        <f>168.6+106.2+330+220+220+268.4+220+360+313.3+335+110+230+626.4+220+200+504.3+110</f>
        <v>4542.2</v>
      </c>
      <c r="AK26" s="81">
        <f>17+40+50+591.2+34.9</f>
        <v>733.1</v>
      </c>
      <c r="AL26" s="81">
        <v>46.2</v>
      </c>
      <c r="AM26" s="81">
        <v>151</v>
      </c>
      <c r="AN26" s="81">
        <f>542.1+5040.9+560.4+248.7+583.3+1024.3+411+591.5+2422.6+1327.2+418.5+764.5</f>
        <v>13935.000000000002</v>
      </c>
      <c r="AO26" s="81">
        <f>336.5+81.7</f>
        <v>418.2</v>
      </c>
      <c r="AP26" s="81">
        <f>145.4+52+533.7</f>
        <v>731.1</v>
      </c>
      <c r="AQ26" s="81">
        <v>203.5</v>
      </c>
      <c r="AR26" s="81">
        <v>199</v>
      </c>
      <c r="AS26" s="81">
        <f>45.8+129.6+135.9+75.3</f>
        <v>386.59999999999997</v>
      </c>
      <c r="AT26" s="81">
        <f>1362.1+54.9+138.2+94.9+11.4</f>
        <v>1661.5000000000002</v>
      </c>
      <c r="AU26" s="81">
        <f>242.4+1024.8+255.4+28.1+142+48.9+208.3+481</f>
        <v>2430.9</v>
      </c>
      <c r="AV26" s="81">
        <f>6.8+12.9+6.7</f>
        <v>26.4</v>
      </c>
      <c r="AW26" s="81">
        <v>22.4</v>
      </c>
      <c r="AX26" s="81">
        <f>6.4+24+7</f>
        <v>37.4</v>
      </c>
      <c r="AY26" s="81">
        <f>8+2+17+10+3+7.5+2</f>
        <v>49.5</v>
      </c>
      <c r="AZ26" s="81">
        <f>34+260.3</f>
        <v>294.3</v>
      </c>
      <c r="BA26" s="81">
        <f>30+50</f>
        <v>80</v>
      </c>
      <c r="BB26" s="81">
        <v>31.5</v>
      </c>
      <c r="BC26" s="81">
        <f>23.7+15</f>
        <v>38.700000000000003</v>
      </c>
      <c r="BD26" s="81">
        <v>10</v>
      </c>
      <c r="BE26" s="81">
        <v>9.4</v>
      </c>
      <c r="BF26" s="81">
        <f>10+149.5</f>
        <v>159.5</v>
      </c>
      <c r="BG26" s="81">
        <v>6</v>
      </c>
      <c r="BH26" s="81">
        <v>40</v>
      </c>
      <c r="BI26" s="81">
        <v>137.1</v>
      </c>
      <c r="BJ26" s="81">
        <v>3254.5</v>
      </c>
      <c r="BK26" s="81">
        <f>400.7+59.6+189.4</f>
        <v>649.70000000000005</v>
      </c>
      <c r="BL26" s="81">
        <f>116+236.1</f>
        <v>352.1</v>
      </c>
      <c r="BM26" s="81">
        <v>70</v>
      </c>
      <c r="BN26" s="81">
        <v>6147.2</v>
      </c>
      <c r="BO26" s="81">
        <f>158+215.9</f>
        <v>373.9</v>
      </c>
      <c r="BP26" s="81">
        <f>3.6+18+3.6+14.4+4.8+3.6+3.6</f>
        <v>51.6</v>
      </c>
      <c r="BQ26" s="81">
        <f>20.2+30.3+37.1+15+15+8+34.3</f>
        <v>159.89999999999998</v>
      </c>
      <c r="BR26" s="68">
        <f>SUM(P26:BQ26)</f>
        <v>57425.399999999994</v>
      </c>
    </row>
    <row r="27" spans="1:70" ht="372" customHeight="1">
      <c r="A27" s="13"/>
      <c r="B27" s="12"/>
      <c r="C27" s="175"/>
      <c r="D27" s="175"/>
      <c r="E27" s="175"/>
      <c r="F27" s="176"/>
      <c r="G27" s="175"/>
      <c r="H27" s="175"/>
      <c r="I27" s="175"/>
      <c r="J27" s="176"/>
      <c r="K27" s="133"/>
      <c r="L27" s="138" t="s">
        <v>204</v>
      </c>
      <c r="P27" s="68">
        <f>698.2+46.2+151+12797.9+262.5+145.4+163+199+311.3+1537.6+1692.7</f>
        <v>18004.8</v>
      </c>
      <c r="Q27" s="80">
        <f>57425.4-BR26</f>
        <v>0</v>
      </c>
    </row>
    <row r="28" spans="1:70" ht="181.5" customHeight="1">
      <c r="A28" s="13"/>
      <c r="B28" s="12"/>
      <c r="C28" s="175"/>
      <c r="D28" s="175"/>
      <c r="E28" s="175"/>
      <c r="F28" s="176"/>
      <c r="G28" s="175"/>
      <c r="H28" s="175"/>
      <c r="I28" s="175"/>
      <c r="J28" s="176"/>
      <c r="K28" s="133"/>
      <c r="L28" s="138" t="s">
        <v>186</v>
      </c>
      <c r="P28" s="68">
        <f>26.5+22.2+37.4+46+34+260.3</f>
        <v>426.4</v>
      </c>
    </row>
    <row r="29" spans="1:70" ht="275.25" customHeight="1">
      <c r="A29" s="13"/>
      <c r="B29" s="12"/>
      <c r="C29" s="175"/>
      <c r="D29" s="175"/>
      <c r="E29" s="175"/>
      <c r="F29" s="176"/>
      <c r="G29" s="175"/>
      <c r="H29" s="175"/>
      <c r="I29" s="175"/>
      <c r="J29" s="176"/>
      <c r="K29" s="133"/>
      <c r="L29" s="134" t="s">
        <v>187</v>
      </c>
      <c r="P29" s="68">
        <f>30+23.7+10+9.5+10+102.8+3254.5+400.7+116+1089.5+39.6</f>
        <v>5086.3</v>
      </c>
    </row>
    <row r="30" spans="1:70" ht="191.25" customHeight="1">
      <c r="A30" s="13"/>
      <c r="B30" s="12"/>
      <c r="C30" s="175"/>
      <c r="D30" s="175"/>
      <c r="E30" s="175"/>
      <c r="F30" s="176"/>
      <c r="G30" s="175"/>
      <c r="H30" s="175"/>
      <c r="I30" s="175"/>
      <c r="J30" s="176"/>
      <c r="K30" s="133"/>
      <c r="L30" s="134" t="s">
        <v>168</v>
      </c>
      <c r="P30" s="68">
        <f>20.2+30.3+37.1+15+15+8+34.3</f>
        <v>159.89999999999998</v>
      </c>
    </row>
    <row r="31" spans="1:70" ht="98.25" customHeight="1">
      <c r="A31" s="13"/>
      <c r="B31" s="12"/>
      <c r="C31" s="175"/>
      <c r="D31" s="175"/>
      <c r="E31" s="175"/>
      <c r="F31" s="176"/>
      <c r="G31" s="175"/>
      <c r="H31" s="175"/>
      <c r="I31" s="175"/>
      <c r="J31" s="176"/>
      <c r="K31" s="133"/>
      <c r="L31" s="134" t="s">
        <v>120</v>
      </c>
      <c r="P31" s="95">
        <v>34871</v>
      </c>
    </row>
    <row r="32" spans="1:70" ht="125.25" customHeight="1">
      <c r="A32" s="13"/>
      <c r="B32" s="12"/>
      <c r="C32" s="175"/>
      <c r="D32" s="175"/>
      <c r="E32" s="175"/>
      <c r="F32" s="176"/>
      <c r="G32" s="175"/>
      <c r="H32" s="175"/>
      <c r="I32" s="175"/>
      <c r="J32" s="176"/>
      <c r="K32" s="133"/>
      <c r="L32" s="134" t="s">
        <v>121</v>
      </c>
      <c r="P32" s="95">
        <f>523998.5+123.7+3261.3+6185.6+4333.3</f>
        <v>537902.4</v>
      </c>
    </row>
    <row r="33" spans="1:18" ht="84" customHeight="1">
      <c r="A33" s="13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169</v>
      </c>
      <c r="P33" s="95">
        <f>3061.2</f>
        <v>3061.2</v>
      </c>
    </row>
    <row r="34" spans="1:18" ht="86.25" customHeight="1">
      <c r="A34" s="13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134" t="s">
        <v>122</v>
      </c>
      <c r="P34" s="95">
        <f>313.6+3104.5+27940.3+2107.8+3232.6</f>
        <v>36698.799999999996</v>
      </c>
    </row>
    <row r="35" spans="1:18" ht="50.25" customHeight="1">
      <c r="A35" s="13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134" t="s">
        <v>104</v>
      </c>
      <c r="P35" s="95">
        <f>120+2.4</f>
        <v>122.4</v>
      </c>
    </row>
    <row r="36" spans="1:18" ht="184.5" customHeight="1">
      <c r="A36" s="14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134" t="s">
        <v>123</v>
      </c>
      <c r="P36" s="95">
        <f>10357.1+61.6+534.6+280.5+25.8+414.7+97</f>
        <v>11771.300000000001</v>
      </c>
      <c r="Q36" s="96">
        <f>26331.2+111.9+5.3+440.8+35+690.2+1026.6+43.4+1065.1+596.4</f>
        <v>30345.9</v>
      </c>
    </row>
    <row r="37" spans="1:18" ht="180.75" customHeight="1">
      <c r="A37" s="14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134" t="s">
        <v>170</v>
      </c>
      <c r="P37" s="95">
        <f>361+1931.3+1931.4</f>
        <v>4223.7000000000007</v>
      </c>
      <c r="Q37" s="96">
        <f>1020.4+1020.4+1020.4</f>
        <v>3061.2</v>
      </c>
    </row>
    <row r="38" spans="1:18" ht="161.25" customHeight="1">
      <c r="A38" s="15"/>
      <c r="B38" s="12"/>
      <c r="C38" s="175"/>
      <c r="D38" s="177"/>
      <c r="E38" s="175"/>
      <c r="F38" s="176"/>
      <c r="G38" s="175"/>
      <c r="H38" s="175"/>
      <c r="I38" s="175"/>
      <c r="J38" s="176"/>
      <c r="K38" s="133"/>
      <c r="L38" s="135" t="s">
        <v>124</v>
      </c>
      <c r="P38" s="95">
        <f>1703.3+1703.3</f>
        <v>3406.6</v>
      </c>
      <c r="Q38" s="96">
        <f>2040.8+2040.8</f>
        <v>4081.6</v>
      </c>
    </row>
    <row r="39" spans="1:18" ht="273.75" customHeight="1">
      <c r="A39" s="6" t="s">
        <v>59</v>
      </c>
      <c r="B39" s="16" t="s">
        <v>1</v>
      </c>
      <c r="C39" s="112">
        <v>65621.018909999999</v>
      </c>
      <c r="D39" s="112"/>
      <c r="E39" s="112"/>
      <c r="F39" s="98">
        <f>E39+D39+C39</f>
        <v>65621.018909999999</v>
      </c>
      <c r="G39" s="112">
        <v>64420.809379999999</v>
      </c>
      <c r="H39" s="112"/>
      <c r="I39" s="112"/>
      <c r="J39" s="108">
        <f>I39+H39+G39</f>
        <v>64420.809379999999</v>
      </c>
      <c r="K39" s="109">
        <f>J39*100/F39</f>
        <v>98.170998332643848</v>
      </c>
      <c r="L39" s="8" t="s">
        <v>192</v>
      </c>
      <c r="P39" s="95">
        <f>13787.5+37.1+191.5+104.1+99.2+2.3+41.4+71.5</f>
        <v>14334.6</v>
      </c>
      <c r="Q39" s="149">
        <f>14942.1+21.6+612.6+41.5+67.8+41.8+3.7+0.8</f>
        <v>15731.9</v>
      </c>
      <c r="R39" s="150">
        <f>25041.5+28.5+715.7+490.8+119.6+143.9+61.2+568.6</f>
        <v>27169.8</v>
      </c>
    </row>
    <row r="40" spans="1:18" ht="42" hidden="1" customHeight="1">
      <c r="A40" s="11"/>
      <c r="B40" s="17"/>
      <c r="C40" s="178"/>
      <c r="D40" s="178"/>
      <c r="E40" s="178"/>
      <c r="F40" s="179"/>
      <c r="G40" s="178"/>
      <c r="H40" s="178"/>
      <c r="I40" s="178"/>
      <c r="J40" s="171"/>
      <c r="K40" s="86"/>
      <c r="L40" s="62" t="s">
        <v>89</v>
      </c>
    </row>
    <row r="41" spans="1:18" ht="241.5" customHeight="1">
      <c r="A41" s="14"/>
      <c r="B41" s="17"/>
      <c r="C41" s="178"/>
      <c r="D41" s="178"/>
      <c r="E41" s="178"/>
      <c r="F41" s="179"/>
      <c r="G41" s="178"/>
      <c r="H41" s="178"/>
      <c r="I41" s="178"/>
      <c r="J41" s="171"/>
      <c r="K41" s="110"/>
      <c r="L41" s="12" t="s">
        <v>172</v>
      </c>
      <c r="P41" s="95">
        <f>45.4+81.6+252.2+76+120.1+19.1+843.7+3.5+25.2+45.8+15.1</f>
        <v>1527.6999999999998</v>
      </c>
    </row>
    <row r="42" spans="1:18" ht="142.5" customHeight="1">
      <c r="A42" s="14"/>
      <c r="B42" s="17"/>
      <c r="C42" s="178"/>
      <c r="D42" s="178"/>
      <c r="E42" s="178"/>
      <c r="F42" s="179"/>
      <c r="G42" s="178"/>
      <c r="H42" s="178"/>
      <c r="I42" s="178"/>
      <c r="J42" s="171"/>
      <c r="K42" s="110"/>
      <c r="L42" s="12" t="s">
        <v>171</v>
      </c>
      <c r="P42" s="95">
        <f>43.8+7.5+80+14.5+22.9</f>
        <v>168.70000000000002</v>
      </c>
    </row>
    <row r="43" spans="1:18" ht="102.75" customHeight="1">
      <c r="A43" s="15"/>
      <c r="B43" s="18"/>
      <c r="C43" s="180"/>
      <c r="D43" s="181"/>
      <c r="E43" s="178"/>
      <c r="F43" s="179"/>
      <c r="G43" s="178"/>
      <c r="H43" s="178"/>
      <c r="I43" s="178"/>
      <c r="J43" s="171"/>
      <c r="K43" s="128"/>
      <c r="L43" s="12" t="s">
        <v>125</v>
      </c>
      <c r="P43" s="95">
        <v>5488</v>
      </c>
    </row>
    <row r="44" spans="1:18" ht="374.25" customHeight="1">
      <c r="A44" s="19" t="s">
        <v>60</v>
      </c>
      <c r="B44" s="20" t="s">
        <v>36</v>
      </c>
      <c r="C44" s="127">
        <v>231.29813999999999</v>
      </c>
      <c r="D44" s="182"/>
      <c r="E44" s="127"/>
      <c r="F44" s="101">
        <f>E44+D44+C44</f>
        <v>231.29813999999999</v>
      </c>
      <c r="G44" s="103">
        <v>229.29338999999999</v>
      </c>
      <c r="H44" s="103"/>
      <c r="I44" s="103"/>
      <c r="J44" s="104">
        <f>I44+H44+G44</f>
        <v>229.29338999999999</v>
      </c>
      <c r="K44" s="102">
        <f>J44*100/F44</f>
        <v>99.133261512608797</v>
      </c>
      <c r="L44" s="26" t="s">
        <v>193</v>
      </c>
      <c r="P44" s="95">
        <f>6+3+2+34+20+5+6+1+2+1+16+1+4+4+1+15+19.3+3+25+15+8+38</f>
        <v>229.3</v>
      </c>
    </row>
    <row r="45" spans="1:18" ht="250.5" hidden="1" customHeight="1">
      <c r="A45" s="6"/>
      <c r="B45" s="16"/>
      <c r="C45" s="112"/>
      <c r="D45" s="183"/>
      <c r="E45" s="112"/>
      <c r="F45" s="98"/>
      <c r="G45" s="106"/>
      <c r="H45" s="106"/>
      <c r="I45" s="106"/>
      <c r="J45" s="108"/>
      <c r="K45" s="85"/>
      <c r="L45" s="8"/>
    </row>
    <row r="46" spans="1:18" ht="123.75" customHeight="1">
      <c r="A46" s="6"/>
      <c r="B46" s="16"/>
      <c r="C46" s="112"/>
      <c r="D46" s="183"/>
      <c r="E46" s="112"/>
      <c r="F46" s="98"/>
      <c r="G46" s="106"/>
      <c r="H46" s="106"/>
      <c r="I46" s="106"/>
      <c r="J46" s="108"/>
      <c r="K46" s="109"/>
      <c r="L46" s="8" t="s">
        <v>194</v>
      </c>
    </row>
    <row r="47" spans="1:18" ht="337.5" customHeight="1">
      <c r="A47" s="21" t="s">
        <v>28</v>
      </c>
      <c r="B47" s="158" t="s">
        <v>83</v>
      </c>
      <c r="C47" s="201">
        <v>5557.0730000000003</v>
      </c>
      <c r="D47" s="201">
        <v>455</v>
      </c>
      <c r="E47" s="202"/>
      <c r="F47" s="201">
        <f>E47+D47+C47</f>
        <v>6012.0730000000003</v>
      </c>
      <c r="G47" s="201">
        <v>5305.8733400000001</v>
      </c>
      <c r="H47" s="201">
        <v>437.74002000000002</v>
      </c>
      <c r="I47" s="201"/>
      <c r="J47" s="201">
        <f>I47+H47+G47</f>
        <v>5743.6133600000003</v>
      </c>
      <c r="K47" s="92">
        <f>J47*100/F47</f>
        <v>95.534657679638954</v>
      </c>
      <c r="L47" s="8" t="s">
        <v>173</v>
      </c>
    </row>
    <row r="48" spans="1:18" ht="56.25">
      <c r="A48" s="21" t="s">
        <v>29</v>
      </c>
      <c r="B48" s="159" t="s">
        <v>82</v>
      </c>
      <c r="C48" s="200">
        <f>C49+C58+C72+C76+C77</f>
        <v>107793.15240000001</v>
      </c>
      <c r="D48" s="200">
        <f t="shared" ref="D48:I48" si="1">D49+D58+D72+D76+D77</f>
        <v>471.911</v>
      </c>
      <c r="E48" s="200">
        <f t="shared" si="1"/>
        <v>165.816</v>
      </c>
      <c r="F48" s="200">
        <f t="shared" si="1"/>
        <v>108430.87940000001</v>
      </c>
      <c r="G48" s="200">
        <f t="shared" si="1"/>
        <v>106231.90675000001</v>
      </c>
      <c r="H48" s="200">
        <f t="shared" si="1"/>
        <v>471.91059999999999</v>
      </c>
      <c r="I48" s="200">
        <f t="shared" si="1"/>
        <v>165.81595999999999</v>
      </c>
      <c r="J48" s="200">
        <f>I48+H48+G48</f>
        <v>106869.63331</v>
      </c>
      <c r="K48" s="99">
        <f>J48*100/F48</f>
        <v>98.560146243727687</v>
      </c>
      <c r="L48" s="113"/>
    </row>
    <row r="49" spans="1:17" ht="165.75" customHeight="1">
      <c r="A49" s="6" t="s">
        <v>61</v>
      </c>
      <c r="B49" s="22" t="s">
        <v>3</v>
      </c>
      <c r="C49" s="106">
        <v>28155.190630000001</v>
      </c>
      <c r="D49" s="106"/>
      <c r="E49" s="106"/>
      <c r="F49" s="108">
        <f>E49+D49+C49</f>
        <v>28155.190630000001</v>
      </c>
      <c r="G49" s="106">
        <v>27384.11751</v>
      </c>
      <c r="H49" s="106"/>
      <c r="I49" s="106"/>
      <c r="J49" s="108">
        <f>I49+H49+G49</f>
        <v>27384.11751</v>
      </c>
      <c r="K49" s="109">
        <f>J49*100/F49</f>
        <v>97.261346477340481</v>
      </c>
      <c r="L49" s="8" t="s">
        <v>195</v>
      </c>
      <c r="P49" s="95">
        <f>13457.4+3990.7+98.7+1621.91+361.07+417.02+100.5+272.29+30.8+123+323.8+29.97+0.84</f>
        <v>20828</v>
      </c>
    </row>
    <row r="50" spans="1:17" ht="299.25" customHeight="1">
      <c r="A50" s="11"/>
      <c r="B50" s="24"/>
      <c r="C50" s="172"/>
      <c r="D50" s="172"/>
      <c r="E50" s="172"/>
      <c r="F50" s="171"/>
      <c r="G50" s="172"/>
      <c r="H50" s="172"/>
      <c r="I50" s="172"/>
      <c r="J50" s="171"/>
      <c r="K50" s="110"/>
      <c r="L50" s="12" t="s">
        <v>196</v>
      </c>
      <c r="Q50" s="69">
        <f>P50+P51+P52</f>
        <v>0</v>
      </c>
    </row>
    <row r="51" spans="1:17" ht="244.5" customHeight="1">
      <c r="A51" s="11"/>
      <c r="B51" s="24"/>
      <c r="C51" s="172"/>
      <c r="D51" s="172"/>
      <c r="E51" s="172"/>
      <c r="F51" s="171"/>
      <c r="G51" s="172"/>
      <c r="H51" s="172"/>
      <c r="I51" s="172"/>
      <c r="J51" s="171"/>
      <c r="K51" s="110"/>
      <c r="L51" s="12" t="s">
        <v>150</v>
      </c>
    </row>
    <row r="52" spans="1:17" ht="192" customHeight="1">
      <c r="A52" s="11"/>
      <c r="B52" s="24"/>
      <c r="C52" s="172"/>
      <c r="D52" s="172"/>
      <c r="E52" s="172"/>
      <c r="F52" s="171"/>
      <c r="G52" s="172"/>
      <c r="H52" s="172"/>
      <c r="I52" s="172"/>
      <c r="J52" s="171"/>
      <c r="K52" s="110"/>
      <c r="L52" s="12" t="s">
        <v>197</v>
      </c>
    </row>
    <row r="53" spans="1:17" ht="189" customHeight="1">
      <c r="A53" s="11"/>
      <c r="B53" s="24"/>
      <c r="C53" s="172"/>
      <c r="D53" s="172"/>
      <c r="E53" s="172"/>
      <c r="F53" s="171"/>
      <c r="G53" s="172"/>
      <c r="H53" s="172"/>
      <c r="I53" s="172"/>
      <c r="J53" s="171"/>
      <c r="K53" s="110"/>
      <c r="L53" s="12" t="s">
        <v>205</v>
      </c>
      <c r="P53" s="95">
        <f>46.2+215.4+212.9+99.5+1701.3+89.4</f>
        <v>2364.7000000000003</v>
      </c>
    </row>
    <row r="54" spans="1:17" ht="148.5" customHeight="1">
      <c r="A54" s="11"/>
      <c r="B54" s="24"/>
      <c r="C54" s="172"/>
      <c r="D54" s="172"/>
      <c r="E54" s="172"/>
      <c r="F54" s="171"/>
      <c r="G54" s="172"/>
      <c r="H54" s="172"/>
      <c r="I54" s="172"/>
      <c r="J54" s="171"/>
      <c r="K54" s="110"/>
      <c r="L54" s="12" t="s">
        <v>206</v>
      </c>
      <c r="P54" s="95">
        <f>244.1+147.4+435.3+310+59.8+213.6</f>
        <v>1410.1999999999998</v>
      </c>
    </row>
    <row r="55" spans="1:17" ht="81.75" hidden="1" customHeight="1">
      <c r="A55" s="11"/>
      <c r="B55" s="24"/>
      <c r="C55" s="172"/>
      <c r="D55" s="172"/>
      <c r="E55" s="172"/>
      <c r="F55" s="171"/>
      <c r="G55" s="172"/>
      <c r="H55" s="172"/>
      <c r="I55" s="172"/>
      <c r="J55" s="171"/>
      <c r="K55" s="86"/>
      <c r="L55" s="61"/>
    </row>
    <row r="56" spans="1:17" ht="132.75" hidden="1" customHeight="1">
      <c r="A56" s="11"/>
      <c r="B56" s="24"/>
      <c r="C56" s="172"/>
      <c r="D56" s="172"/>
      <c r="E56" s="172"/>
      <c r="F56" s="171"/>
      <c r="G56" s="172"/>
      <c r="H56" s="172"/>
      <c r="I56" s="172"/>
      <c r="J56" s="171"/>
      <c r="K56" s="86"/>
      <c r="L56" s="61"/>
    </row>
    <row r="57" spans="1:17" ht="191.25" hidden="1" customHeight="1">
      <c r="A57" s="23"/>
      <c r="B57" s="24"/>
      <c r="C57" s="172"/>
      <c r="D57" s="172"/>
      <c r="E57" s="172"/>
      <c r="F57" s="171"/>
      <c r="G57" s="172"/>
      <c r="H57" s="172"/>
      <c r="I57" s="172"/>
      <c r="J57" s="171"/>
      <c r="K57" s="86"/>
      <c r="L57" s="63"/>
    </row>
    <row r="58" spans="1:17" ht="181.5" customHeight="1">
      <c r="A58" s="6" t="s">
        <v>62</v>
      </c>
      <c r="B58" s="25" t="s">
        <v>2</v>
      </c>
      <c r="C58" s="112">
        <v>47074.200510000002</v>
      </c>
      <c r="D58" s="112">
        <v>471.911</v>
      </c>
      <c r="E58" s="112">
        <v>165.816</v>
      </c>
      <c r="F58" s="98">
        <f>E58+D58+C58</f>
        <v>47711.927510000001</v>
      </c>
      <c r="G58" s="112">
        <v>46691.611149999997</v>
      </c>
      <c r="H58" s="112">
        <v>471.91059999999999</v>
      </c>
      <c r="I58" s="112">
        <v>165.81595999999999</v>
      </c>
      <c r="J58" s="98">
        <f>G58+I58+H58</f>
        <v>47329.33771</v>
      </c>
      <c r="K58" s="92">
        <f>J58*100/F58</f>
        <v>99.198125458419554</v>
      </c>
      <c r="L58" s="26" t="s">
        <v>140</v>
      </c>
      <c r="Q58" s="80">
        <f>P58+P59+P61+P62+P63+P64+P66+P67+P68+P69+P65</f>
        <v>6689.8</v>
      </c>
    </row>
    <row r="59" spans="1:17" ht="348" customHeight="1">
      <c r="A59" s="11"/>
      <c r="B59" s="27"/>
      <c r="C59" s="178"/>
      <c r="D59" s="178"/>
      <c r="E59" s="178"/>
      <c r="F59" s="179"/>
      <c r="G59" s="178"/>
      <c r="H59" s="178"/>
      <c r="I59" s="178"/>
      <c r="J59" s="179"/>
      <c r="K59" s="93"/>
      <c r="L59" s="71" t="s">
        <v>141</v>
      </c>
      <c r="P59" s="595">
        <f>168.6+300+100.8+30.5+20.05+35+415+120+10.2+1.9+8.1+5+2+0.75+9.9+1.4+3.8+99.2+13.5+100+87</f>
        <v>1532.7</v>
      </c>
    </row>
    <row r="60" spans="1:17" ht="190.5" customHeight="1">
      <c r="A60" s="11"/>
      <c r="B60" s="27"/>
      <c r="C60" s="178"/>
      <c r="D60" s="178"/>
      <c r="E60" s="178"/>
      <c r="F60" s="179"/>
      <c r="G60" s="178"/>
      <c r="H60" s="178"/>
      <c r="I60" s="178"/>
      <c r="J60" s="179"/>
      <c r="K60" s="93"/>
      <c r="L60" s="12" t="s">
        <v>174</v>
      </c>
      <c r="P60" s="595"/>
    </row>
    <row r="61" spans="1:17" ht="79.5" customHeight="1">
      <c r="A61" s="11"/>
      <c r="B61" s="27"/>
      <c r="C61" s="178"/>
      <c r="D61" s="178"/>
      <c r="E61" s="178"/>
      <c r="F61" s="179"/>
      <c r="G61" s="178"/>
      <c r="H61" s="178"/>
      <c r="I61" s="178"/>
      <c r="J61" s="179"/>
      <c r="K61" s="93"/>
      <c r="L61" s="71" t="s">
        <v>142</v>
      </c>
      <c r="P61" s="95">
        <f>9.3+453.5</f>
        <v>462.8</v>
      </c>
    </row>
    <row r="62" spans="1:17" ht="64.5" customHeight="1">
      <c r="A62" s="11"/>
      <c r="B62" s="27"/>
      <c r="C62" s="178"/>
      <c r="D62" s="178"/>
      <c r="E62" s="178"/>
      <c r="F62" s="179"/>
      <c r="G62" s="178"/>
      <c r="H62" s="178"/>
      <c r="I62" s="178"/>
      <c r="J62" s="179"/>
      <c r="K62" s="93"/>
      <c r="L62" s="71" t="s">
        <v>91</v>
      </c>
      <c r="P62" s="95">
        <v>188</v>
      </c>
    </row>
    <row r="63" spans="1:17" ht="200.25" customHeight="1">
      <c r="A63" s="11"/>
      <c r="B63" s="27"/>
      <c r="C63" s="178"/>
      <c r="D63" s="178"/>
      <c r="E63" s="178"/>
      <c r="F63" s="179"/>
      <c r="G63" s="178"/>
      <c r="H63" s="178"/>
      <c r="I63" s="178"/>
      <c r="J63" s="179"/>
      <c r="K63" s="93"/>
      <c r="L63" s="71" t="s">
        <v>143</v>
      </c>
      <c r="P63" s="95">
        <v>4215.3</v>
      </c>
    </row>
    <row r="64" spans="1:17" ht="352.5" customHeight="1">
      <c r="A64" s="11"/>
      <c r="B64" s="27"/>
      <c r="C64" s="178"/>
      <c r="D64" s="178"/>
      <c r="E64" s="178"/>
      <c r="F64" s="179"/>
      <c r="G64" s="178"/>
      <c r="H64" s="178"/>
      <c r="I64" s="178"/>
      <c r="J64" s="179"/>
      <c r="K64" s="93"/>
      <c r="L64" s="71" t="s">
        <v>147</v>
      </c>
      <c r="P64" s="625"/>
      <c r="Q64" s="69"/>
    </row>
    <row r="65" spans="1:17" ht="313.5" customHeight="1">
      <c r="A65" s="11"/>
      <c r="B65" s="27"/>
      <c r="C65" s="178"/>
      <c r="D65" s="178"/>
      <c r="E65" s="178"/>
      <c r="F65" s="179"/>
      <c r="G65" s="178"/>
      <c r="H65" s="178"/>
      <c r="I65" s="178"/>
      <c r="J65" s="179"/>
      <c r="K65" s="93"/>
      <c r="L65" s="155" t="s">
        <v>198</v>
      </c>
      <c r="P65" s="625"/>
      <c r="Q65" s="57"/>
    </row>
    <row r="66" spans="1:17" ht="42.75" customHeight="1">
      <c r="A66" s="11"/>
      <c r="B66" s="27"/>
      <c r="C66" s="178"/>
      <c r="D66" s="178"/>
      <c r="E66" s="178"/>
      <c r="F66" s="179"/>
      <c r="G66" s="178"/>
      <c r="H66" s="178"/>
      <c r="I66" s="178"/>
      <c r="J66" s="179"/>
      <c r="K66" s="93"/>
      <c r="L66" s="12"/>
      <c r="Q66" s="57"/>
    </row>
    <row r="67" spans="1:17" ht="138.75" customHeight="1">
      <c r="A67" s="11"/>
      <c r="B67" s="27"/>
      <c r="C67" s="178"/>
      <c r="D67" s="178"/>
      <c r="E67" s="178"/>
      <c r="F67" s="179"/>
      <c r="G67" s="178"/>
      <c r="H67" s="178"/>
      <c r="I67" s="178"/>
      <c r="J67" s="179"/>
      <c r="K67" s="93"/>
      <c r="L67" s="71" t="s">
        <v>144</v>
      </c>
      <c r="P67" s="147">
        <v>178.4</v>
      </c>
    </row>
    <row r="68" spans="1:17" ht="103.5" customHeight="1">
      <c r="A68" s="11"/>
      <c r="B68" s="27"/>
      <c r="C68" s="178"/>
      <c r="D68" s="178"/>
      <c r="E68" s="178"/>
      <c r="F68" s="179"/>
      <c r="G68" s="178"/>
      <c r="H68" s="178"/>
      <c r="I68" s="178"/>
      <c r="J68" s="179"/>
      <c r="K68" s="93"/>
      <c r="L68" s="71" t="s">
        <v>146</v>
      </c>
      <c r="P68" s="95">
        <v>44.8</v>
      </c>
    </row>
    <row r="69" spans="1:17" ht="106.5" customHeight="1">
      <c r="A69" s="11"/>
      <c r="B69" s="27"/>
      <c r="C69" s="178"/>
      <c r="D69" s="178"/>
      <c r="E69" s="178"/>
      <c r="F69" s="179"/>
      <c r="G69" s="178"/>
      <c r="H69" s="178"/>
      <c r="I69" s="178"/>
      <c r="J69" s="179"/>
      <c r="K69" s="93"/>
      <c r="L69" s="71" t="s">
        <v>145</v>
      </c>
      <c r="P69" s="95">
        <v>67.8</v>
      </c>
    </row>
    <row r="70" spans="1:17" hidden="1">
      <c r="A70" s="11"/>
      <c r="B70" s="27"/>
      <c r="C70" s="178"/>
      <c r="D70" s="178"/>
      <c r="E70" s="178"/>
      <c r="F70" s="179"/>
      <c r="G70" s="178"/>
      <c r="H70" s="178"/>
      <c r="I70" s="178"/>
      <c r="J70" s="179"/>
      <c r="K70" s="88"/>
      <c r="L70" s="61"/>
    </row>
    <row r="71" spans="1:17" hidden="1">
      <c r="A71" s="11"/>
      <c r="B71" s="27"/>
      <c r="C71" s="178"/>
      <c r="D71" s="178"/>
      <c r="E71" s="178"/>
      <c r="F71" s="179"/>
      <c r="G71" s="178"/>
      <c r="H71" s="178"/>
      <c r="I71" s="178"/>
      <c r="J71" s="179"/>
      <c r="K71" s="88"/>
      <c r="L71" s="61"/>
    </row>
    <row r="72" spans="1:17" ht="117.75" customHeight="1">
      <c r="A72" s="6" t="s">
        <v>63</v>
      </c>
      <c r="B72" s="7" t="s">
        <v>4</v>
      </c>
      <c r="C72" s="112">
        <v>1495.1303700000001</v>
      </c>
      <c r="D72" s="112"/>
      <c r="E72" s="112"/>
      <c r="F72" s="98">
        <f>E72+D72+C72</f>
        <v>1495.1303700000001</v>
      </c>
      <c r="G72" s="112">
        <v>1481.95308</v>
      </c>
      <c r="H72" s="112"/>
      <c r="I72" s="112"/>
      <c r="J72" s="98">
        <f>G72+H72+I72</f>
        <v>1481.95308</v>
      </c>
      <c r="K72" s="92">
        <f>J72/F72*100</f>
        <v>99.118652776747481</v>
      </c>
      <c r="L72" s="8" t="s">
        <v>188</v>
      </c>
      <c r="P72" s="95">
        <f>18.8+141+67.9+124.5</f>
        <v>352.20000000000005</v>
      </c>
    </row>
    <row r="73" spans="1:17" ht="369" customHeight="1">
      <c r="A73" s="11"/>
      <c r="B73" s="53"/>
      <c r="C73" s="178"/>
      <c r="D73" s="178"/>
      <c r="E73" s="178"/>
      <c r="F73" s="179"/>
      <c r="G73" s="178"/>
      <c r="H73" s="178"/>
      <c r="I73" s="178"/>
      <c r="J73" s="179"/>
      <c r="K73" s="93"/>
      <c r="L73" s="12" t="s">
        <v>148</v>
      </c>
      <c r="P73" s="68">
        <f>14.2+7+5+10+30+4+2.1+5.4+6.6+15+2.7+8.1+11.5+0.9+29.3+20.4+12.5+5</f>
        <v>189.70000000000002</v>
      </c>
    </row>
    <row r="74" spans="1:17" ht="266.25" customHeight="1">
      <c r="A74" s="11"/>
      <c r="B74" s="53"/>
      <c r="C74" s="178"/>
      <c r="D74" s="178"/>
      <c r="E74" s="178"/>
      <c r="F74" s="179"/>
      <c r="G74" s="178"/>
      <c r="H74" s="178"/>
      <c r="I74" s="178"/>
      <c r="J74" s="179"/>
      <c r="K74" s="93"/>
      <c r="L74" s="12" t="s">
        <v>149</v>
      </c>
      <c r="P74" s="68">
        <f>25.2+8+3+11.8+29.7+1+19.5+5.5+3.4+15.5+26.9+18+5.2+26.9+5.7+16+16+285+2.4+25.5+20.2+5.4+5.8+52.2+3+7</f>
        <v>643.79999999999995</v>
      </c>
    </row>
    <row r="75" spans="1:17" ht="271.5" customHeight="1">
      <c r="A75" s="11"/>
      <c r="B75" s="29"/>
      <c r="C75" s="180"/>
      <c r="D75" s="180"/>
      <c r="E75" s="180"/>
      <c r="F75" s="184"/>
      <c r="G75" s="180"/>
      <c r="H75" s="180"/>
      <c r="I75" s="180"/>
      <c r="J75" s="184"/>
      <c r="K75" s="139"/>
      <c r="L75" s="28" t="s">
        <v>175</v>
      </c>
      <c r="P75" s="95">
        <f>48.5+25+22+92.3+62.1+12.1+0.5+0.5+2.5+15</f>
        <v>280.5</v>
      </c>
    </row>
    <row r="76" spans="1:17" ht="196.5" customHeight="1">
      <c r="A76" s="6" t="s">
        <v>64</v>
      </c>
      <c r="B76" s="30" t="s">
        <v>38</v>
      </c>
      <c r="C76" s="127">
        <v>28769.479889999999</v>
      </c>
      <c r="D76" s="127"/>
      <c r="E76" s="127"/>
      <c r="F76" s="101">
        <f>E76+D76+C76</f>
        <v>28769.479889999999</v>
      </c>
      <c r="G76" s="103">
        <v>28406.483459999999</v>
      </c>
      <c r="H76" s="103"/>
      <c r="I76" s="103"/>
      <c r="J76" s="104">
        <f>I76+H76+G76</f>
        <v>28406.483459999999</v>
      </c>
      <c r="K76" s="102">
        <f>J76*100/F76</f>
        <v>98.738258628977945</v>
      </c>
      <c r="L76" s="113" t="s">
        <v>139</v>
      </c>
      <c r="P76" s="95">
        <f>4072.31+1218.16+23.28+12.64+118.05+49.45+6+58.69+23.49+1.51+0.46</f>
        <v>5584.04</v>
      </c>
      <c r="Q76" s="95">
        <f>15738.68+4719.71+57.58+61.01+379.69+4.14+393.61+177.28+1263.39+27.37</f>
        <v>22822.459999999995</v>
      </c>
    </row>
    <row r="77" spans="1:17" ht="141.75" customHeight="1">
      <c r="A77" s="6" t="s">
        <v>65</v>
      </c>
      <c r="B77" s="51" t="s">
        <v>6</v>
      </c>
      <c r="C77" s="112">
        <v>2299.1509999999998</v>
      </c>
      <c r="D77" s="112"/>
      <c r="E77" s="98"/>
      <c r="F77" s="98">
        <f>E77+D77+C77</f>
        <v>2299.1509999999998</v>
      </c>
      <c r="G77" s="112">
        <v>2267.7415500000002</v>
      </c>
      <c r="H77" s="112"/>
      <c r="I77" s="112"/>
      <c r="J77" s="98">
        <f>I77+H77+G77</f>
        <v>2267.7415500000002</v>
      </c>
      <c r="K77" s="92">
        <f>J77*100/F77</f>
        <v>98.633867458031261</v>
      </c>
      <c r="L77" s="8" t="s">
        <v>176</v>
      </c>
      <c r="M77" s="153"/>
      <c r="N77" s="153"/>
      <c r="O77" s="153"/>
      <c r="P77" s="154">
        <v>1779.8</v>
      </c>
    </row>
    <row r="78" spans="1:17" ht="309.75" customHeight="1">
      <c r="A78" s="11"/>
      <c r="B78" s="52"/>
      <c r="C78" s="178"/>
      <c r="D78" s="185"/>
      <c r="E78" s="179"/>
      <c r="F78" s="179"/>
      <c r="G78" s="178"/>
      <c r="H78" s="178"/>
      <c r="I78" s="178"/>
      <c r="J78" s="179"/>
      <c r="K78" s="93"/>
      <c r="L78" s="12" t="s">
        <v>153</v>
      </c>
      <c r="P78" s="595">
        <f>2.5+4.9+6.4+37+14.9+50+10+1.9+25.4+4.8+4.6+41.3+24.4+14+38.5+50+11.1+4.3+59.5+9.3+6.3+7.1+5.7+54</f>
        <v>487.90000000000009</v>
      </c>
    </row>
    <row r="79" spans="1:17" ht="18.75" hidden="1" customHeight="1">
      <c r="A79" s="11"/>
      <c r="B79" s="52"/>
      <c r="C79" s="178"/>
      <c r="D79" s="185"/>
      <c r="E79" s="179"/>
      <c r="F79" s="179"/>
      <c r="G79" s="178"/>
      <c r="H79" s="178"/>
      <c r="I79" s="178"/>
      <c r="J79" s="179"/>
      <c r="K79" s="88"/>
      <c r="L79" s="12"/>
      <c r="P79" s="595"/>
    </row>
    <row r="80" spans="1:17" ht="192.75" customHeight="1">
      <c r="A80" s="11"/>
      <c r="B80" s="52"/>
      <c r="C80" s="178"/>
      <c r="D80" s="185"/>
      <c r="E80" s="179"/>
      <c r="F80" s="179"/>
      <c r="G80" s="178"/>
      <c r="H80" s="178"/>
      <c r="I80" s="178"/>
      <c r="J80" s="179"/>
      <c r="K80" s="93"/>
      <c r="L80" s="12" t="s">
        <v>154</v>
      </c>
      <c r="P80" s="595"/>
    </row>
    <row r="81" spans="1:16" ht="322.5" customHeight="1">
      <c r="A81" s="21" t="s">
        <v>31</v>
      </c>
      <c r="B81" s="604" t="s">
        <v>72</v>
      </c>
      <c r="C81" s="201">
        <v>15720.61623</v>
      </c>
      <c r="D81" s="201">
        <v>1631.07</v>
      </c>
      <c r="E81" s="201">
        <v>131775.9</v>
      </c>
      <c r="F81" s="201">
        <f>E81+D81+C81</f>
        <v>149127.58623000002</v>
      </c>
      <c r="G81" s="201">
        <v>15240.78162</v>
      </c>
      <c r="H81" s="201">
        <v>1464.6769999999999</v>
      </c>
      <c r="I81" s="201">
        <v>115303</v>
      </c>
      <c r="J81" s="201">
        <f>I81+H81+G81</f>
        <v>132008.45861999999</v>
      </c>
      <c r="K81" s="92">
        <f>J81*100/F81</f>
        <v>88.520482331419799</v>
      </c>
      <c r="L81" s="26" t="s">
        <v>199</v>
      </c>
      <c r="P81" s="95">
        <f>11.6+4.6+15.6+11.5+5.9+8.4+14.6+11.5+3.5+9.5+7.9+12.7+7.9</f>
        <v>125.2</v>
      </c>
    </row>
    <row r="82" spans="1:16" ht="63.75" customHeight="1">
      <c r="A82" s="32"/>
      <c r="B82" s="605"/>
      <c r="C82" s="179"/>
      <c r="D82" s="179"/>
      <c r="E82" s="178"/>
      <c r="F82" s="179"/>
      <c r="G82" s="179"/>
      <c r="H82" s="179"/>
      <c r="I82" s="179"/>
      <c r="J82" s="179"/>
      <c r="K82" s="93"/>
      <c r="L82" s="71" t="s">
        <v>155</v>
      </c>
      <c r="P82" s="95">
        <f>3931.5+1185.9</f>
        <v>5117.3999999999996</v>
      </c>
    </row>
    <row r="83" spans="1:16" ht="48.75" customHeight="1">
      <c r="A83" s="32"/>
      <c r="B83" s="605"/>
      <c r="C83" s="179"/>
      <c r="D83" s="179"/>
      <c r="E83" s="178"/>
      <c r="F83" s="179"/>
      <c r="G83" s="179"/>
      <c r="H83" s="179"/>
      <c r="I83" s="179"/>
      <c r="J83" s="179"/>
      <c r="K83" s="93"/>
      <c r="L83" s="71" t="s">
        <v>96</v>
      </c>
      <c r="P83" s="95">
        <v>2036.7</v>
      </c>
    </row>
    <row r="84" spans="1:16" ht="116.25" customHeight="1">
      <c r="A84" s="32"/>
      <c r="B84" s="605"/>
      <c r="C84" s="179"/>
      <c r="D84" s="179"/>
      <c r="E84" s="178"/>
      <c r="F84" s="179"/>
      <c r="G84" s="179"/>
      <c r="H84" s="179"/>
      <c r="I84" s="179"/>
      <c r="J84" s="179"/>
      <c r="K84" s="93"/>
      <c r="L84" s="71" t="s">
        <v>156</v>
      </c>
      <c r="P84" s="95">
        <f>288+2008.5+636.1+179.2</f>
        <v>3111.7999999999997</v>
      </c>
    </row>
    <row r="85" spans="1:16" ht="100.5" customHeight="1">
      <c r="A85" s="32"/>
      <c r="B85" s="605"/>
      <c r="C85" s="179"/>
      <c r="D85" s="179"/>
      <c r="E85" s="178"/>
      <c r="F85" s="179"/>
      <c r="G85" s="179"/>
      <c r="H85" s="179"/>
      <c r="I85" s="179"/>
      <c r="J85" s="179"/>
      <c r="K85" s="93"/>
      <c r="L85" s="71" t="s">
        <v>157</v>
      </c>
      <c r="P85" s="95">
        <f>331.2+68.1+350+30</f>
        <v>779.3</v>
      </c>
    </row>
    <row r="86" spans="1:16" ht="81" customHeight="1">
      <c r="A86" s="32"/>
      <c r="B86" s="605"/>
      <c r="C86" s="179"/>
      <c r="D86" s="179"/>
      <c r="E86" s="178"/>
      <c r="F86" s="179"/>
      <c r="G86" s="179"/>
      <c r="H86" s="179"/>
      <c r="I86" s="179"/>
      <c r="J86" s="179"/>
      <c r="K86" s="93"/>
      <c r="L86" s="71" t="s">
        <v>97</v>
      </c>
      <c r="P86" s="95">
        <v>306.10000000000002</v>
      </c>
    </row>
    <row r="87" spans="1:16" ht="144" customHeight="1">
      <c r="A87" s="32"/>
      <c r="B87" s="605"/>
      <c r="C87" s="179"/>
      <c r="D87" s="179"/>
      <c r="E87" s="178"/>
      <c r="F87" s="179"/>
      <c r="G87" s="179"/>
      <c r="H87" s="179"/>
      <c r="I87" s="179"/>
      <c r="J87" s="179"/>
      <c r="K87" s="93"/>
      <c r="L87" s="71" t="s">
        <v>158</v>
      </c>
      <c r="P87" s="95">
        <f>60.2+148.7+300.8+255.3+193.9+2044.2</f>
        <v>3003.1</v>
      </c>
    </row>
    <row r="88" spans="1:16" ht="375.75" customHeight="1">
      <c r="A88" s="14"/>
      <c r="B88" s="605"/>
      <c r="C88" s="179"/>
      <c r="D88" s="179"/>
      <c r="E88" s="178"/>
      <c r="F88" s="179"/>
      <c r="G88" s="179"/>
      <c r="H88" s="179"/>
      <c r="I88" s="179"/>
      <c r="J88" s="179"/>
      <c r="K88" s="93"/>
      <c r="L88" s="12" t="s">
        <v>159</v>
      </c>
      <c r="P88" s="95">
        <f>3.5+5.5+4.8+36.5+6.7+2.94+4.92+6.3+10+1.8+12.14+4.8+1.8+10+10.8+1.8</f>
        <v>124.29999999999998</v>
      </c>
    </row>
    <row r="89" spans="1:16" ht="390.75" customHeight="1">
      <c r="A89" s="14"/>
      <c r="B89" s="76"/>
      <c r="C89" s="179"/>
      <c r="D89" s="179"/>
      <c r="E89" s="178"/>
      <c r="F89" s="179"/>
      <c r="G89" s="179"/>
      <c r="H89" s="179"/>
      <c r="I89" s="179"/>
      <c r="J89" s="179"/>
      <c r="K89" s="93"/>
      <c r="L89" s="12" t="s">
        <v>160</v>
      </c>
      <c r="P89" s="95">
        <f>7.5+8.9+8.4+10.1+8.5+4+2.2+2.4+19.9+5+7+7+7+7+7</f>
        <v>111.9</v>
      </c>
    </row>
    <row r="90" spans="1:16" ht="351" customHeight="1">
      <c r="A90" s="15"/>
      <c r="B90" s="621"/>
      <c r="C90" s="598"/>
      <c r="D90" s="598"/>
      <c r="E90" s="623"/>
      <c r="F90" s="598"/>
      <c r="G90" s="598"/>
      <c r="H90" s="598"/>
      <c r="I90" s="598"/>
      <c r="J90" s="598"/>
      <c r="K90" s="600"/>
      <c r="L90" s="148" t="s">
        <v>161</v>
      </c>
      <c r="P90" s="95">
        <f>27.5+5+61+5.4+33+26.3+16+60+44+4.2+19.5+5.9+15.3+284+22.6+40+25.5+29.8</f>
        <v>725</v>
      </c>
    </row>
    <row r="91" spans="1:16" ht="80.25" customHeight="1">
      <c r="A91" s="15"/>
      <c r="B91" s="622"/>
      <c r="C91" s="599"/>
      <c r="D91" s="599"/>
      <c r="E91" s="624"/>
      <c r="F91" s="599"/>
      <c r="G91" s="599"/>
      <c r="H91" s="599"/>
      <c r="I91" s="599"/>
      <c r="J91" s="599"/>
      <c r="K91" s="601"/>
      <c r="L91" s="148" t="s">
        <v>207</v>
      </c>
      <c r="P91" s="95">
        <f>116354.6+213.1</f>
        <v>116567.70000000001</v>
      </c>
    </row>
    <row r="92" spans="1:16" ht="56.25">
      <c r="A92" s="10"/>
      <c r="B92" s="156" t="s">
        <v>73</v>
      </c>
      <c r="C92" s="200">
        <f t="shared" ref="C92:J92" si="2">C94+C95+C93</f>
        <v>15565.648000000001</v>
      </c>
      <c r="D92" s="200">
        <f t="shared" si="2"/>
        <v>97349</v>
      </c>
      <c r="E92" s="200">
        <f t="shared" si="2"/>
        <v>11061.5</v>
      </c>
      <c r="F92" s="200">
        <f t="shared" si="2"/>
        <v>123976.148</v>
      </c>
      <c r="G92" s="200">
        <f t="shared" si="2"/>
        <v>14846.078450000001</v>
      </c>
      <c r="H92" s="200">
        <f t="shared" si="2"/>
        <v>93012.843609999996</v>
      </c>
      <c r="I92" s="200">
        <f t="shared" si="2"/>
        <v>11061.47834</v>
      </c>
      <c r="J92" s="200">
        <f t="shared" si="2"/>
        <v>118920.4004</v>
      </c>
      <c r="K92" s="99">
        <f>J92*100/F92</f>
        <v>95.92199977047197</v>
      </c>
      <c r="L92" s="100"/>
    </row>
    <row r="93" spans="1:16" ht="338.25" customHeight="1">
      <c r="A93" s="33" t="s">
        <v>32</v>
      </c>
      <c r="B93" s="34" t="s">
        <v>45</v>
      </c>
      <c r="C93" s="127">
        <v>9782.732</v>
      </c>
      <c r="D93" s="127">
        <v>6886</v>
      </c>
      <c r="E93" s="127"/>
      <c r="F93" s="101">
        <f>E93+D93+C93</f>
        <v>16668.732</v>
      </c>
      <c r="G93" s="103">
        <v>9145.0686700000006</v>
      </c>
      <c r="H93" s="103">
        <v>5854.6251199999997</v>
      </c>
      <c r="I93" s="103"/>
      <c r="J93" s="104">
        <f>I93+H93+G93</f>
        <v>14999.693790000001</v>
      </c>
      <c r="K93" s="102">
        <f>J93*100/F93</f>
        <v>89.987011549528788</v>
      </c>
      <c r="L93" s="113" t="s">
        <v>162</v>
      </c>
      <c r="P93" s="95">
        <f>7221.1+80+44+230+620.4+5231.2+1570</f>
        <v>14996.7</v>
      </c>
    </row>
    <row r="94" spans="1:16" ht="233.25" customHeight="1" thickBot="1">
      <c r="A94" s="19" t="s">
        <v>34</v>
      </c>
      <c r="B94" s="9" t="s">
        <v>7</v>
      </c>
      <c r="C94" s="127"/>
      <c r="D94" s="127">
        <v>87163</v>
      </c>
      <c r="E94" s="127">
        <v>11061.5</v>
      </c>
      <c r="F94" s="101">
        <f>E94+D94+C94</f>
        <v>98224.5</v>
      </c>
      <c r="H94" s="103">
        <v>83858.218489999999</v>
      </c>
      <c r="I94" s="103">
        <v>11061.47834</v>
      </c>
      <c r="J94" s="104">
        <f>G94+H94+I94</f>
        <v>94919.696830000001</v>
      </c>
      <c r="K94" s="102">
        <f>J94*100/F94</f>
        <v>96.635459411857539</v>
      </c>
      <c r="L94" s="140" t="s">
        <v>138</v>
      </c>
      <c r="P94" s="95">
        <f>7098.4+194+39.2+416.9+168+249.2+188+38.1+24866.3+18454.1+43207.5</f>
        <v>94919.7</v>
      </c>
    </row>
    <row r="95" spans="1:16" ht="234.75" customHeight="1">
      <c r="A95" s="6" t="s">
        <v>35</v>
      </c>
      <c r="B95" s="7" t="s">
        <v>8</v>
      </c>
      <c r="C95" s="112">
        <v>5782.9160000000002</v>
      </c>
      <c r="D95" s="112">
        <v>3300</v>
      </c>
      <c r="E95" s="112"/>
      <c r="F95" s="98">
        <f>E95+D95+C95</f>
        <v>9082.9160000000011</v>
      </c>
      <c r="G95" s="106">
        <v>5701.0097800000003</v>
      </c>
      <c r="H95" s="106">
        <v>3300</v>
      </c>
      <c r="I95" s="106"/>
      <c r="J95" s="108">
        <f>I95+H95+G95</f>
        <v>9001.0097800000003</v>
      </c>
      <c r="K95" s="109">
        <f>J95*100/F95</f>
        <v>99.098238715408129</v>
      </c>
      <c r="L95" s="26" t="s">
        <v>163</v>
      </c>
      <c r="P95" s="610">
        <f>2718.2+33.7+2881.8+3300+67.3</f>
        <v>9001</v>
      </c>
    </row>
    <row r="96" spans="1:16" ht="121.5" customHeight="1" thickBot="1">
      <c r="A96" s="11"/>
      <c r="B96" s="53"/>
      <c r="C96" s="178"/>
      <c r="D96" s="178"/>
      <c r="E96" s="178"/>
      <c r="F96" s="179"/>
      <c r="G96" s="172"/>
      <c r="H96" s="172"/>
      <c r="I96" s="172"/>
      <c r="J96" s="171"/>
      <c r="K96" s="110"/>
      <c r="L96" s="71" t="s">
        <v>127</v>
      </c>
      <c r="P96" s="611"/>
    </row>
    <row r="97" spans="1:18" ht="99" customHeight="1">
      <c r="A97" s="45" t="s">
        <v>37</v>
      </c>
      <c r="B97" s="160" t="s">
        <v>81</v>
      </c>
      <c r="C97" s="201">
        <v>102393.86801000001</v>
      </c>
      <c r="D97" s="201">
        <v>3512.32</v>
      </c>
      <c r="E97" s="201"/>
      <c r="F97" s="201">
        <f>E97+D97+C97</f>
        <v>105906.18801000001</v>
      </c>
      <c r="G97" s="201">
        <f>102355.03097001+0.02</f>
        <v>102355.05097001001</v>
      </c>
      <c r="H97" s="201">
        <v>3512.32</v>
      </c>
      <c r="I97" s="201"/>
      <c r="J97" s="201">
        <f>I97+H97+G97</f>
        <v>105867.37097001002</v>
      </c>
      <c r="K97" s="152">
        <f>J97*100/F97</f>
        <v>99.963347712990739</v>
      </c>
      <c r="L97" s="97" t="s">
        <v>108</v>
      </c>
      <c r="P97" s="95">
        <f>10831.1+3130.8+294.2+297.1+14.2+1136.5+609+663.6+346.4+282.6+3.6</f>
        <v>17609.100000000002</v>
      </c>
      <c r="Q97" s="96"/>
      <c r="R97" s="602">
        <f>Q99+Q100+P100+P99+P98+P97</f>
        <v>105867.3</v>
      </c>
    </row>
    <row r="98" spans="1:18" ht="61.5" customHeight="1">
      <c r="A98" s="70"/>
      <c r="B98" s="47"/>
      <c r="C98" s="179"/>
      <c r="D98" s="179"/>
      <c r="E98" s="179"/>
      <c r="F98" s="179"/>
      <c r="G98" s="179"/>
      <c r="H98" s="179"/>
      <c r="I98" s="179"/>
      <c r="J98" s="179"/>
      <c r="K98" s="93"/>
      <c r="L98" s="94" t="s">
        <v>107</v>
      </c>
      <c r="P98" s="95">
        <v>379.4</v>
      </c>
      <c r="Q98" s="96"/>
      <c r="R98" s="603"/>
    </row>
    <row r="99" spans="1:18" ht="176.25" customHeight="1">
      <c r="A99" s="46"/>
      <c r="B99" s="47"/>
      <c r="C99" s="179"/>
      <c r="D99" s="179"/>
      <c r="E99" s="179"/>
      <c r="F99" s="179"/>
      <c r="G99" s="179"/>
      <c r="H99" s="179"/>
      <c r="I99" s="179"/>
      <c r="J99" s="179"/>
      <c r="K99" s="93"/>
      <c r="L99" s="94" t="s">
        <v>164</v>
      </c>
      <c r="P99" s="95">
        <v>795</v>
      </c>
      <c r="Q99" s="96">
        <v>3584</v>
      </c>
      <c r="R99" s="603"/>
    </row>
    <row r="100" spans="1:18" ht="409.6" customHeight="1">
      <c r="A100" s="46"/>
      <c r="B100" s="47"/>
      <c r="C100" s="179"/>
      <c r="D100" s="179"/>
      <c r="E100" s="179"/>
      <c r="F100" s="179"/>
      <c r="G100" s="179"/>
      <c r="H100" s="179"/>
      <c r="I100" s="179"/>
      <c r="J100" s="179"/>
      <c r="K100" s="93"/>
      <c r="L100" s="47" t="s">
        <v>130</v>
      </c>
      <c r="P100" s="95">
        <f>147+450+38+139.3+5350+297.1+22.7+613.7</f>
        <v>7057.8</v>
      </c>
      <c r="Q100" s="96">
        <v>76442</v>
      </c>
      <c r="R100" s="603"/>
    </row>
    <row r="101" spans="1:18" ht="215.25" customHeight="1">
      <c r="A101" s="10" t="s">
        <v>39</v>
      </c>
      <c r="B101" s="161" t="s">
        <v>74</v>
      </c>
      <c r="C101" s="200">
        <v>21</v>
      </c>
      <c r="D101" s="200"/>
      <c r="E101" s="200"/>
      <c r="F101" s="200">
        <f>E101+D101+C101</f>
        <v>21</v>
      </c>
      <c r="G101" s="200">
        <v>20.971599999999999</v>
      </c>
      <c r="H101" s="200"/>
      <c r="I101" s="200"/>
      <c r="J101" s="200">
        <f>G101+H101+I101</f>
        <v>20.971599999999999</v>
      </c>
      <c r="K101" s="99">
        <f>J101/F101*100</f>
        <v>99.864761904761906</v>
      </c>
      <c r="L101" s="100" t="s">
        <v>177</v>
      </c>
      <c r="P101" s="95">
        <f>4+1.9+2+7+3+3</f>
        <v>20.9</v>
      </c>
    </row>
    <row r="102" spans="1:18" ht="94.5" customHeight="1">
      <c r="A102" s="35" t="s">
        <v>40</v>
      </c>
      <c r="B102" s="157" t="s">
        <v>75</v>
      </c>
      <c r="C102" s="200">
        <f>C103+C104+C106+C105</f>
        <v>193.71091999999999</v>
      </c>
      <c r="D102" s="200">
        <f t="shared" ref="D102:J102" si="3">D103+D104+D106+D105</f>
        <v>0</v>
      </c>
      <c r="E102" s="200">
        <f t="shared" si="3"/>
        <v>0</v>
      </c>
      <c r="F102" s="200">
        <f t="shared" si="3"/>
        <v>193.71091999999999</v>
      </c>
      <c r="G102" s="200">
        <f>G103+G104+G106+G105</f>
        <v>183.23779999999999</v>
      </c>
      <c r="H102" s="200">
        <f t="shared" si="3"/>
        <v>0</v>
      </c>
      <c r="I102" s="200">
        <f t="shared" si="3"/>
        <v>0</v>
      </c>
      <c r="J102" s="200">
        <f t="shared" si="3"/>
        <v>183.23779999999999</v>
      </c>
      <c r="K102" s="99">
        <f>J102*100/F102</f>
        <v>94.593428186702127</v>
      </c>
      <c r="L102" s="100"/>
    </row>
    <row r="103" spans="1:18" ht="75">
      <c r="A103" s="36" t="s">
        <v>66</v>
      </c>
      <c r="B103" s="9" t="s">
        <v>9</v>
      </c>
      <c r="C103" s="127">
        <v>22.882999999999999</v>
      </c>
      <c r="D103" s="127"/>
      <c r="E103" s="127"/>
      <c r="F103" s="101">
        <f>E103+D103+C103</f>
        <v>22.882999999999999</v>
      </c>
      <c r="G103" s="127">
        <v>16.872699999999998</v>
      </c>
      <c r="H103" s="101"/>
      <c r="I103" s="101"/>
      <c r="J103" s="101">
        <f>I103+H103+G103</f>
        <v>16.872699999999998</v>
      </c>
      <c r="K103" s="99">
        <f>J103*100/F103</f>
        <v>73.734650176987273</v>
      </c>
      <c r="L103" s="131" t="s">
        <v>129</v>
      </c>
      <c r="P103" s="95">
        <f>9.9+7</f>
        <v>16.899999999999999</v>
      </c>
    </row>
    <row r="104" spans="1:18" ht="83.25" customHeight="1">
      <c r="A104" s="37" t="s">
        <v>67</v>
      </c>
      <c r="B104" s="31" t="s">
        <v>48</v>
      </c>
      <c r="C104" s="127">
        <v>50</v>
      </c>
      <c r="D104" s="127"/>
      <c r="E104" s="127"/>
      <c r="F104" s="101">
        <f>E104+D104+C104</f>
        <v>50</v>
      </c>
      <c r="G104" s="127">
        <v>49.999650000000003</v>
      </c>
      <c r="H104" s="101"/>
      <c r="I104" s="101"/>
      <c r="J104" s="101">
        <f>I104+H104+G104</f>
        <v>49.999650000000003</v>
      </c>
      <c r="K104" s="99">
        <f>J104*100/F104</f>
        <v>99.999300000000005</v>
      </c>
      <c r="L104" s="131" t="s">
        <v>178</v>
      </c>
      <c r="P104" s="95">
        <f>8.3+35.2+0.4+6.1</f>
        <v>50</v>
      </c>
    </row>
    <row r="105" spans="1:18" ht="229.5" customHeight="1">
      <c r="A105" s="19" t="s">
        <v>68</v>
      </c>
      <c r="B105" s="34" t="s">
        <v>10</v>
      </c>
      <c r="C105" s="127">
        <v>117.78685</v>
      </c>
      <c r="D105" s="127"/>
      <c r="E105" s="127"/>
      <c r="F105" s="101">
        <f>E105+D105+C105</f>
        <v>117.78685</v>
      </c>
      <c r="G105" s="127">
        <v>113.32438</v>
      </c>
      <c r="H105" s="127"/>
      <c r="I105" s="127"/>
      <c r="J105" s="101">
        <f>I105+H105+G105</f>
        <v>113.32438</v>
      </c>
      <c r="K105" s="99">
        <f>J105*100/F105</f>
        <v>96.211402206613045</v>
      </c>
      <c r="L105" s="132" t="s">
        <v>179</v>
      </c>
      <c r="P105" s="95">
        <f>2+0.7+1.8+2+15.6+11.6+19.8+14.8+30+15</f>
        <v>113.3</v>
      </c>
    </row>
    <row r="106" spans="1:18" ht="59.25" customHeight="1">
      <c r="A106" s="19" t="s">
        <v>69</v>
      </c>
      <c r="B106" s="34" t="s">
        <v>11</v>
      </c>
      <c r="C106" s="127">
        <v>3.0410699999999999</v>
      </c>
      <c r="D106" s="127"/>
      <c r="E106" s="127"/>
      <c r="F106" s="101">
        <f>E106+D106+C106</f>
        <v>3.0410699999999999</v>
      </c>
      <c r="G106" s="127">
        <v>3.0410699999999999</v>
      </c>
      <c r="H106" s="127"/>
      <c r="I106" s="127"/>
      <c r="J106" s="101">
        <f>I106+H106+G106</f>
        <v>3.0410699999999999</v>
      </c>
      <c r="K106" s="99">
        <f>J106*100/F106</f>
        <v>99.999999999999986</v>
      </c>
      <c r="L106" s="113" t="s">
        <v>99</v>
      </c>
      <c r="P106" s="95">
        <v>3</v>
      </c>
    </row>
    <row r="107" spans="1:18" ht="120" customHeight="1">
      <c r="A107" s="21" t="s">
        <v>41</v>
      </c>
      <c r="B107" s="158" t="s">
        <v>76</v>
      </c>
      <c r="C107" s="201">
        <v>4224.6100999999999</v>
      </c>
      <c r="D107" s="201">
        <v>1000</v>
      </c>
      <c r="E107" s="201"/>
      <c r="F107" s="201">
        <f>E107+D107+C107</f>
        <v>5224.6100999999999</v>
      </c>
      <c r="G107" s="201">
        <v>3843.1529999999998</v>
      </c>
      <c r="H107" s="201">
        <v>1000</v>
      </c>
      <c r="I107" s="201"/>
      <c r="J107" s="201">
        <f>G107+I107+H107</f>
        <v>4843.1530000000002</v>
      </c>
      <c r="K107" s="92">
        <f>J107/F107*100</f>
        <v>92.698840818762733</v>
      </c>
      <c r="L107" s="8" t="s">
        <v>131</v>
      </c>
      <c r="P107" s="95">
        <f>909.6+274.7+266.1+56.3+6.2+8.9+160.6+4.7+55.5+9.2</f>
        <v>1751.8000000000002</v>
      </c>
    </row>
    <row r="108" spans="1:18" ht="264.75" customHeight="1">
      <c r="A108" s="32"/>
      <c r="B108" s="55"/>
      <c r="C108" s="179"/>
      <c r="D108" s="179"/>
      <c r="E108" s="179"/>
      <c r="F108" s="179"/>
      <c r="G108" s="179"/>
      <c r="H108" s="179"/>
      <c r="I108" s="179"/>
      <c r="J108" s="179"/>
      <c r="K108" s="93"/>
      <c r="L108" s="12" t="s">
        <v>208</v>
      </c>
      <c r="P108" s="95">
        <f>1786+12.5+80+128+1000+20.4</f>
        <v>3026.9</v>
      </c>
    </row>
    <row r="109" spans="1:18" ht="162.75" customHeight="1">
      <c r="A109" s="54"/>
      <c r="B109" s="56"/>
      <c r="C109" s="184"/>
      <c r="D109" s="184"/>
      <c r="E109" s="179"/>
      <c r="F109" s="184"/>
      <c r="G109" s="184"/>
      <c r="H109" s="184"/>
      <c r="I109" s="184"/>
      <c r="J109" s="184"/>
      <c r="K109" s="139"/>
      <c r="L109" s="148" t="s">
        <v>200</v>
      </c>
      <c r="P109" s="95">
        <f>13.2+2.5+2.8+9.8+0.7+13.2+15.2+0.7+6.4</f>
        <v>64.500000000000014</v>
      </c>
    </row>
    <row r="110" spans="1:18" ht="76.5" customHeight="1">
      <c r="A110" s="35" t="s">
        <v>42</v>
      </c>
      <c r="B110" s="162" t="s">
        <v>77</v>
      </c>
      <c r="C110" s="201">
        <f t="shared" ref="C110:J110" si="4">C111+C122</f>
        <v>28228.196</v>
      </c>
      <c r="D110" s="200">
        <f t="shared" si="4"/>
        <v>18390</v>
      </c>
      <c r="E110" s="201">
        <f t="shared" si="4"/>
        <v>0</v>
      </c>
      <c r="F110" s="200">
        <f t="shared" si="4"/>
        <v>46618.196000000004</v>
      </c>
      <c r="G110" s="200">
        <f t="shared" si="4"/>
        <v>24084.31727</v>
      </c>
      <c r="H110" s="200">
        <f t="shared" si="4"/>
        <v>18212.349460000001</v>
      </c>
      <c r="I110" s="200">
        <f t="shared" si="4"/>
        <v>0</v>
      </c>
      <c r="J110" s="200">
        <f t="shared" si="4"/>
        <v>42296.566730000006</v>
      </c>
      <c r="K110" s="99">
        <f>J110*100/F110</f>
        <v>90.729737225352949</v>
      </c>
      <c r="L110" s="100"/>
    </row>
    <row r="111" spans="1:18" ht="338.25" customHeight="1">
      <c r="A111" s="38" t="s">
        <v>43</v>
      </c>
      <c r="B111" s="39" t="s">
        <v>12</v>
      </c>
      <c r="C111" s="112">
        <v>27295.771000000001</v>
      </c>
      <c r="D111" s="112">
        <v>18390</v>
      </c>
      <c r="E111" s="112"/>
      <c r="F111" s="98">
        <f>E111+D111+C111</f>
        <v>45685.771000000001</v>
      </c>
      <c r="G111" s="112">
        <f>23151.81203+0.1</f>
        <v>23151.91203</v>
      </c>
      <c r="H111" s="112">
        <v>18212.349460000001</v>
      </c>
      <c r="I111" s="112"/>
      <c r="J111" s="98">
        <f>I111+H111+G111-0.1</f>
        <v>41364.161490000006</v>
      </c>
      <c r="K111" s="92">
        <f>J111*100/F111</f>
        <v>90.540578794215833</v>
      </c>
      <c r="L111" s="123" t="s">
        <v>116</v>
      </c>
      <c r="P111" s="95">
        <f>33.5+31.4+78.8+224.8+50.3+156.5</f>
        <v>575.29999999999995</v>
      </c>
      <c r="Q111" s="80">
        <f>P111+P112+P113+P114+P115+P116+P117+P118+P119+P120+P122</f>
        <v>42296.6</v>
      </c>
    </row>
    <row r="112" spans="1:18">
      <c r="A112" s="41"/>
      <c r="B112" s="53"/>
      <c r="C112" s="178"/>
      <c r="D112" s="178"/>
      <c r="E112" s="178"/>
      <c r="F112" s="179"/>
      <c r="G112" s="178"/>
      <c r="H112" s="178"/>
      <c r="I112" s="178"/>
      <c r="J112" s="179"/>
      <c r="K112" s="93"/>
      <c r="L112" s="124" t="s">
        <v>113</v>
      </c>
      <c r="P112" s="95">
        <v>432</v>
      </c>
    </row>
    <row r="113" spans="1:16" ht="56.25">
      <c r="A113" s="41"/>
      <c r="B113" s="53"/>
      <c r="C113" s="178"/>
      <c r="D113" s="178"/>
      <c r="E113" s="178"/>
      <c r="F113" s="179"/>
      <c r="G113" s="178"/>
      <c r="H113" s="178"/>
      <c r="I113" s="178"/>
      <c r="J113" s="179"/>
      <c r="K113" s="93"/>
      <c r="L113" s="125" t="s">
        <v>95</v>
      </c>
      <c r="P113" s="95">
        <v>600</v>
      </c>
    </row>
    <row r="114" spans="1:16">
      <c r="A114" s="41"/>
      <c r="B114" s="53"/>
      <c r="C114" s="178"/>
      <c r="D114" s="178"/>
      <c r="E114" s="178"/>
      <c r="F114" s="179"/>
      <c r="G114" s="178"/>
      <c r="H114" s="178"/>
      <c r="I114" s="178"/>
      <c r="J114" s="179"/>
      <c r="K114" s="93"/>
      <c r="L114" s="124" t="s">
        <v>114</v>
      </c>
      <c r="P114" s="95">
        <v>497.1</v>
      </c>
    </row>
    <row r="115" spans="1:16">
      <c r="A115" s="41"/>
      <c r="B115" s="53"/>
      <c r="C115" s="178"/>
      <c r="D115" s="178"/>
      <c r="E115" s="178"/>
      <c r="F115" s="178"/>
      <c r="G115" s="178"/>
      <c r="H115" s="178"/>
      <c r="I115" s="178"/>
      <c r="J115" s="178"/>
      <c r="K115" s="126"/>
      <c r="L115" s="124" t="s">
        <v>115</v>
      </c>
      <c r="P115" s="95">
        <v>718.7</v>
      </c>
    </row>
    <row r="116" spans="1:16" ht="408.75" customHeight="1">
      <c r="A116" s="41"/>
      <c r="B116" s="53"/>
      <c r="C116" s="178"/>
      <c r="D116" s="178"/>
      <c r="E116" s="178"/>
      <c r="F116" s="179"/>
      <c r="G116" s="178"/>
      <c r="H116" s="178"/>
      <c r="I116" s="178"/>
      <c r="J116" s="179"/>
      <c r="K116" s="93"/>
      <c r="L116" s="125" t="s">
        <v>180</v>
      </c>
      <c r="P116" s="95">
        <f>348.8+353.6+3050+1950+7077.3+403.1+1529+1865.7+563+545.4</f>
        <v>17685.900000000001</v>
      </c>
    </row>
    <row r="117" spans="1:16" ht="68.25" customHeight="1">
      <c r="A117" s="41"/>
      <c r="B117" s="53"/>
      <c r="C117" s="178"/>
      <c r="D117" s="178"/>
      <c r="E117" s="178"/>
      <c r="F117" s="179"/>
      <c r="G117" s="178"/>
      <c r="H117" s="178"/>
      <c r="I117" s="178"/>
      <c r="J117" s="179"/>
      <c r="K117" s="93"/>
      <c r="L117" s="125" t="s">
        <v>181</v>
      </c>
      <c r="P117" s="95">
        <f>595.8+327</f>
        <v>922.8</v>
      </c>
    </row>
    <row r="118" spans="1:16" ht="296.25" customHeight="1">
      <c r="A118" s="41"/>
      <c r="B118" s="53"/>
      <c r="C118" s="178"/>
      <c r="D118" s="178"/>
      <c r="E118" s="178"/>
      <c r="F118" s="179"/>
      <c r="G118" s="178"/>
      <c r="H118" s="178"/>
      <c r="I118" s="178"/>
      <c r="J118" s="179"/>
      <c r="K118" s="93"/>
      <c r="L118" s="124" t="s">
        <v>209</v>
      </c>
      <c r="P118" s="95">
        <f>4843.8+835.2+1162.3+825.2+1055.4+4311.3+1721.7+2877.1+580.3</f>
        <v>18212.3</v>
      </c>
    </row>
    <row r="119" spans="1:16" ht="292.5" customHeight="1">
      <c r="A119" s="41"/>
      <c r="B119" s="53"/>
      <c r="C119" s="178"/>
      <c r="D119" s="178"/>
      <c r="E119" s="178"/>
      <c r="F119" s="179"/>
      <c r="G119" s="178"/>
      <c r="H119" s="178"/>
      <c r="I119" s="178"/>
      <c r="J119" s="179"/>
      <c r="K119" s="93"/>
      <c r="L119" s="124" t="s">
        <v>210</v>
      </c>
      <c r="P119" s="95">
        <f>98.9+17.1+23.8+17+21.6+88+35.2+58.8+11.8</f>
        <v>372.2</v>
      </c>
    </row>
    <row r="120" spans="1:16" ht="81.75" customHeight="1">
      <c r="A120" s="41"/>
      <c r="B120" s="53"/>
      <c r="C120" s="178"/>
      <c r="D120" s="178"/>
      <c r="E120" s="178"/>
      <c r="F120" s="179"/>
      <c r="G120" s="178"/>
      <c r="H120" s="178"/>
      <c r="I120" s="178"/>
      <c r="J120" s="179"/>
      <c r="K120" s="93"/>
      <c r="L120" s="124" t="s">
        <v>101</v>
      </c>
      <c r="P120" s="95">
        <v>1347.9</v>
      </c>
    </row>
    <row r="121" spans="1:16" hidden="1">
      <c r="A121" s="41"/>
      <c r="B121" s="53"/>
      <c r="C121" s="178"/>
      <c r="D121" s="178"/>
      <c r="E121" s="178"/>
      <c r="F121" s="179"/>
      <c r="G121" s="178"/>
      <c r="H121" s="178"/>
      <c r="I121" s="178"/>
      <c r="J121" s="179"/>
      <c r="K121" s="88"/>
      <c r="L121" s="64"/>
    </row>
    <row r="122" spans="1:16" ht="50.25" customHeight="1">
      <c r="A122" s="36" t="s">
        <v>44</v>
      </c>
      <c r="B122" s="9" t="s">
        <v>13</v>
      </c>
      <c r="C122" s="127">
        <f>932.425</f>
        <v>932.42499999999995</v>
      </c>
      <c r="D122" s="127"/>
      <c r="E122" s="127"/>
      <c r="F122" s="101">
        <f>E122+D122+C122</f>
        <v>932.42499999999995</v>
      </c>
      <c r="G122" s="127">
        <v>932.40524000000005</v>
      </c>
      <c r="H122" s="127"/>
      <c r="I122" s="127"/>
      <c r="J122" s="101">
        <f>I122+H122+G122</f>
        <v>932.40524000000005</v>
      </c>
      <c r="K122" s="99">
        <f>J122*100/F122</f>
        <v>99.997880794701999</v>
      </c>
      <c r="L122" s="100" t="s">
        <v>102</v>
      </c>
      <c r="P122" s="95">
        <v>932.4</v>
      </c>
    </row>
    <row r="123" spans="1:16" ht="99.75" customHeight="1">
      <c r="A123" s="21" t="s">
        <v>46</v>
      </c>
      <c r="B123" s="26" t="s">
        <v>30</v>
      </c>
      <c r="C123" s="201">
        <v>39290.145499999999</v>
      </c>
      <c r="D123" s="201">
        <v>111173.6</v>
      </c>
      <c r="E123" s="201"/>
      <c r="F123" s="201">
        <f>E123+D123+C123</f>
        <v>150463.74550000002</v>
      </c>
      <c r="G123" s="201">
        <f>147737.26188-0.1</f>
        <v>147737.16188</v>
      </c>
      <c r="H123" s="201">
        <v>1548.4840099999999</v>
      </c>
      <c r="I123" s="201"/>
      <c r="J123" s="201">
        <f>SUM(G123:I123)+0.1</f>
        <v>149285.74588999999</v>
      </c>
      <c r="K123" s="92">
        <f>J123*100/F123</f>
        <v>99.217087407943055</v>
      </c>
      <c r="L123" s="8" t="s">
        <v>132</v>
      </c>
      <c r="P123" s="95">
        <f>10116+3077.3+2+134.9+73.8+661.9+5.5+321.5+138.3+1.6</f>
        <v>14532.799999999997</v>
      </c>
    </row>
    <row r="124" spans="1:16" ht="99.75" customHeight="1">
      <c r="A124" s="32"/>
      <c r="B124" s="71"/>
      <c r="C124" s="179"/>
      <c r="D124" s="179"/>
      <c r="E124" s="179"/>
      <c r="F124" s="179"/>
      <c r="G124" s="179"/>
      <c r="H124" s="179"/>
      <c r="I124" s="179"/>
      <c r="J124" s="179"/>
      <c r="K124" s="93"/>
      <c r="L124" s="12" t="s">
        <v>133</v>
      </c>
      <c r="P124" s="95">
        <f>109566+12595</f>
        <v>122161</v>
      </c>
    </row>
    <row r="125" spans="1:16" ht="123" customHeight="1">
      <c r="A125" s="32"/>
      <c r="B125" s="71"/>
      <c r="C125" s="179"/>
      <c r="D125" s="179"/>
      <c r="E125" s="179"/>
      <c r="F125" s="179"/>
      <c r="G125" s="179"/>
      <c r="H125" s="179"/>
      <c r="I125" s="179"/>
      <c r="J125" s="179"/>
      <c r="K125" s="93"/>
      <c r="L125" s="12" t="s">
        <v>134</v>
      </c>
      <c r="P125" s="95">
        <f>7815+2215.9+51.8+74.4+31.9+491.5+2+225.6+128.6+1.8</f>
        <v>11038.499999999998</v>
      </c>
    </row>
    <row r="126" spans="1:16" ht="62.25" customHeight="1">
      <c r="A126" s="32"/>
      <c r="B126" s="71"/>
      <c r="C126" s="179"/>
      <c r="D126" s="179"/>
      <c r="E126" s="179"/>
      <c r="F126" s="179"/>
      <c r="G126" s="179"/>
      <c r="H126" s="179"/>
      <c r="I126" s="179"/>
      <c r="J126" s="179"/>
      <c r="K126" s="93"/>
      <c r="L126" s="12" t="s">
        <v>136</v>
      </c>
      <c r="P126" s="95">
        <f>610.6+722.3+15</f>
        <v>1347.9</v>
      </c>
    </row>
    <row r="127" spans="1:16" ht="39.75" customHeight="1">
      <c r="A127" s="32"/>
      <c r="B127" s="71"/>
      <c r="C127" s="179"/>
      <c r="D127" s="179"/>
      <c r="E127" s="179"/>
      <c r="F127" s="179"/>
      <c r="G127" s="179"/>
      <c r="H127" s="179"/>
      <c r="I127" s="179"/>
      <c r="J127" s="179"/>
      <c r="K127" s="93"/>
      <c r="L127" s="12" t="s">
        <v>135</v>
      </c>
      <c r="P127" s="95"/>
    </row>
    <row r="128" spans="1:16" ht="41.25" customHeight="1">
      <c r="A128" s="32"/>
      <c r="B128" s="71"/>
      <c r="C128" s="179"/>
      <c r="D128" s="179"/>
      <c r="E128" s="179"/>
      <c r="F128" s="179"/>
      <c r="G128" s="179"/>
      <c r="H128" s="179"/>
      <c r="I128" s="179"/>
      <c r="J128" s="179"/>
      <c r="K128" s="93"/>
      <c r="L128" s="12" t="s">
        <v>98</v>
      </c>
      <c r="P128" s="95"/>
    </row>
    <row r="129" spans="1:20" ht="80.25" customHeight="1">
      <c r="A129" s="15"/>
      <c r="B129" s="28"/>
      <c r="C129" s="184"/>
      <c r="D129" s="184"/>
      <c r="E129" s="184"/>
      <c r="F129" s="184"/>
      <c r="G129" s="184"/>
      <c r="H129" s="184"/>
      <c r="I129" s="184"/>
      <c r="J129" s="184"/>
      <c r="K129" s="139"/>
      <c r="L129" s="28" t="s">
        <v>137</v>
      </c>
      <c r="P129" s="95">
        <f>71.3+15.3+19.4+47.8+5+46.8</f>
        <v>205.60000000000002</v>
      </c>
    </row>
    <row r="130" spans="1:20" ht="120.75" customHeight="1">
      <c r="A130" s="40" t="s">
        <v>47</v>
      </c>
      <c r="B130" s="157" t="s">
        <v>78</v>
      </c>
      <c r="C130" s="200">
        <v>390</v>
      </c>
      <c r="D130" s="200">
        <f>192.75399-0.1</f>
        <v>192.65398999999999</v>
      </c>
      <c r="E130" s="200">
        <v>737.76697999999999</v>
      </c>
      <c r="F130" s="200">
        <f>C130+D130+E130+0.1</f>
        <v>1320.52097</v>
      </c>
      <c r="G130" s="200">
        <f>296.04845+0.01</f>
        <v>296.05844999999999</v>
      </c>
      <c r="H130" s="200">
        <v>146.31929</v>
      </c>
      <c r="I130" s="200">
        <v>560.03786000000002</v>
      </c>
      <c r="J130" s="200">
        <f>I130+H130+G130</f>
        <v>1002.4156</v>
      </c>
      <c r="K130" s="99">
        <f>J130*100/F130</f>
        <v>75.910615792795781</v>
      </c>
      <c r="L130" s="100" t="s">
        <v>109</v>
      </c>
      <c r="P130" s="95">
        <f>296.1+146.3+560</f>
        <v>1002.4000000000001</v>
      </c>
    </row>
    <row r="131" spans="1:20" ht="299.25" customHeight="1">
      <c r="A131" s="606" t="s">
        <v>49</v>
      </c>
      <c r="B131" s="608" t="s">
        <v>87</v>
      </c>
      <c r="C131" s="201">
        <v>3636.68941</v>
      </c>
      <c r="D131" s="201">
        <v>770</v>
      </c>
      <c r="E131" s="201"/>
      <c r="F131" s="201">
        <f>E131+D131+C131</f>
        <v>4406.68941</v>
      </c>
      <c r="G131" s="201">
        <f>3465.7353+0.1</f>
        <v>3465.8352999999997</v>
      </c>
      <c r="H131" s="201">
        <v>611.64990999999998</v>
      </c>
      <c r="I131" s="201"/>
      <c r="J131" s="201">
        <f>I131+H131+G131-0.1</f>
        <v>4077.3852099999999</v>
      </c>
      <c r="K131" s="92">
        <f>J131*100/F131</f>
        <v>92.527174725481729</v>
      </c>
      <c r="L131" s="123" t="s">
        <v>182</v>
      </c>
      <c r="P131" s="95">
        <f>1528.5+429.6+204+160.65+951.3+7.1+58.65+20+21.4+53+11.99+4.8+14.8+611.6</f>
        <v>4077.3900000000003</v>
      </c>
      <c r="T131" s="1" t="s">
        <v>94</v>
      </c>
    </row>
    <row r="132" spans="1:20" ht="44.25" customHeight="1">
      <c r="A132" s="607"/>
      <c r="B132" s="609"/>
      <c r="C132" s="184"/>
      <c r="D132" s="184"/>
      <c r="E132" s="184"/>
      <c r="F132" s="184"/>
      <c r="G132" s="184"/>
      <c r="H132" s="184"/>
      <c r="I132" s="179"/>
      <c r="J132" s="179"/>
      <c r="K132" s="139"/>
      <c r="L132" s="151" t="s">
        <v>126</v>
      </c>
    </row>
    <row r="133" spans="1:20" ht="120" customHeight="1">
      <c r="A133" s="35" t="s">
        <v>50</v>
      </c>
      <c r="B133" s="157" t="s">
        <v>79</v>
      </c>
      <c r="C133" s="203">
        <f>C134+C138+C139</f>
        <v>26956.643210000002</v>
      </c>
      <c r="D133" s="203">
        <f t="shared" ref="D133:J133" si="5">D134+D138+D139</f>
        <v>23300.6</v>
      </c>
      <c r="E133" s="203">
        <f t="shared" si="5"/>
        <v>61443.6</v>
      </c>
      <c r="F133" s="203">
        <f>F134+F138+F139</f>
        <v>111700.84320999999</v>
      </c>
      <c r="G133" s="203">
        <f t="shared" si="5"/>
        <v>26141.320469999999</v>
      </c>
      <c r="H133" s="203">
        <f t="shared" si="5"/>
        <v>21817.01309</v>
      </c>
      <c r="I133" s="203">
        <f t="shared" si="5"/>
        <v>61031.907509999997</v>
      </c>
      <c r="J133" s="203">
        <f t="shared" si="5"/>
        <v>108990.24107</v>
      </c>
      <c r="K133" s="99">
        <f t="shared" ref="K133:K140" si="6">J133*100/F133</f>
        <v>97.573337799336045</v>
      </c>
      <c r="L133" s="122"/>
    </row>
    <row r="134" spans="1:20" ht="262.5" customHeight="1">
      <c r="A134" s="38" t="s">
        <v>51</v>
      </c>
      <c r="B134" s="25" t="s">
        <v>14</v>
      </c>
      <c r="C134" s="106">
        <v>7495.6220300000004</v>
      </c>
      <c r="D134" s="107">
        <v>15565</v>
      </c>
      <c r="E134" s="106"/>
      <c r="F134" s="108">
        <f>E134+D134+C134</f>
        <v>23060.622029999999</v>
      </c>
      <c r="G134" s="106">
        <v>6923.2946199999997</v>
      </c>
      <c r="H134" s="106">
        <v>14081.79127</v>
      </c>
      <c r="I134" s="106"/>
      <c r="J134" s="108">
        <f>I134+H134+G134</f>
        <v>21005.085889999998</v>
      </c>
      <c r="K134" s="109">
        <f t="shared" si="6"/>
        <v>91.08638033559582</v>
      </c>
      <c r="L134" s="8" t="s">
        <v>201</v>
      </c>
      <c r="P134" s="95">
        <f>599.5+4066.9+981+188.5+800</f>
        <v>6635.9</v>
      </c>
      <c r="Q134" s="111">
        <f>P134+P136</f>
        <v>21005.1</v>
      </c>
      <c r="R134" s="111">
        <f>P134+P136+P138+P139</f>
        <v>108990.20000000001</v>
      </c>
    </row>
    <row r="135" spans="1:20" ht="135" hidden="1" customHeight="1">
      <c r="A135" s="41"/>
      <c r="B135" s="42"/>
      <c r="C135" s="172"/>
      <c r="D135" s="186"/>
      <c r="E135" s="172"/>
      <c r="F135" s="171"/>
      <c r="G135" s="172"/>
      <c r="H135" s="172"/>
      <c r="I135" s="172"/>
      <c r="J135" s="171"/>
      <c r="K135" s="110"/>
      <c r="L135" s="61"/>
      <c r="P135" s="95"/>
    </row>
    <row r="136" spans="1:20" ht="325.5" customHeight="1">
      <c r="A136" s="41"/>
      <c r="B136" s="42"/>
      <c r="C136" s="172"/>
      <c r="D136" s="186"/>
      <c r="E136" s="172"/>
      <c r="F136" s="171"/>
      <c r="G136" s="172"/>
      <c r="H136" s="172"/>
      <c r="I136" s="172"/>
      <c r="J136" s="171"/>
      <c r="K136" s="110"/>
      <c r="L136" s="71" t="s">
        <v>183</v>
      </c>
      <c r="P136" s="95">
        <f>1265.8+1075.6+116.9+997.4+1533.98+718.82+1203.6+156.7+129.1+4794.7+2129.2+247.4</f>
        <v>14369.199999999999</v>
      </c>
    </row>
    <row r="137" spans="1:20" ht="118.5" hidden="1" customHeight="1">
      <c r="A137" s="43"/>
      <c r="B137" s="44"/>
      <c r="C137" s="173"/>
      <c r="D137" s="187"/>
      <c r="E137" s="173"/>
      <c r="F137" s="174"/>
      <c r="G137" s="173"/>
      <c r="H137" s="173"/>
      <c r="I137" s="173"/>
      <c r="J137" s="174"/>
      <c r="K137" s="87"/>
      <c r="L137" s="60" t="s">
        <v>100</v>
      </c>
    </row>
    <row r="138" spans="1:20" ht="180.75" customHeight="1">
      <c r="A138" s="36" t="s">
        <v>52</v>
      </c>
      <c r="B138" s="34" t="s">
        <v>15</v>
      </c>
      <c r="C138" s="103">
        <v>1420.59728</v>
      </c>
      <c r="D138" s="103">
        <v>7735.6</v>
      </c>
      <c r="E138" s="103">
        <v>61443.6</v>
      </c>
      <c r="F138" s="104">
        <f>C138+D138+E138</f>
        <v>70599.797279999999</v>
      </c>
      <c r="G138" s="103">
        <v>1412.1105299999999</v>
      </c>
      <c r="H138" s="103">
        <v>7735.2218199999998</v>
      </c>
      <c r="I138" s="103">
        <v>61031.907509999997</v>
      </c>
      <c r="J138" s="104">
        <f>I138+H138+G138</f>
        <v>70179.239860000001</v>
      </c>
      <c r="K138" s="102">
        <v>0</v>
      </c>
      <c r="L138" s="105" t="s">
        <v>184</v>
      </c>
      <c r="P138" s="95">
        <f>154+68664.6+1360.6</f>
        <v>70179.200000000012</v>
      </c>
    </row>
    <row r="139" spans="1:20" ht="126.75" customHeight="1">
      <c r="A139" s="37" t="s">
        <v>52</v>
      </c>
      <c r="B139" s="34" t="s">
        <v>5</v>
      </c>
      <c r="C139" s="103">
        <v>18040.423900000002</v>
      </c>
      <c r="D139" s="103"/>
      <c r="E139" s="103"/>
      <c r="F139" s="104">
        <f>E139+D139+C139</f>
        <v>18040.423900000002</v>
      </c>
      <c r="G139" s="103">
        <v>17805.91532</v>
      </c>
      <c r="H139" s="103"/>
      <c r="I139" s="103"/>
      <c r="J139" s="104">
        <f>I139+H139+G139</f>
        <v>17805.91532</v>
      </c>
      <c r="K139" s="102">
        <f t="shared" si="6"/>
        <v>98.700093848681675</v>
      </c>
      <c r="L139" s="20" t="s">
        <v>111</v>
      </c>
      <c r="P139" s="95">
        <f>9625.6+60.9+2870.8+102.5+192.9+1898.6+391.3+15.9+2255.11+182.99+185.7+19.1+4.5</f>
        <v>17805.899999999998</v>
      </c>
    </row>
    <row r="140" spans="1:20" ht="135" customHeight="1">
      <c r="A140" s="10" t="s">
        <v>53</v>
      </c>
      <c r="B140" s="156" t="s">
        <v>80</v>
      </c>
      <c r="C140" s="200">
        <v>107</v>
      </c>
      <c r="D140" s="200"/>
      <c r="E140" s="200"/>
      <c r="F140" s="200">
        <f>E140+D140+C140</f>
        <v>107</v>
      </c>
      <c r="G140" s="200">
        <v>96.727590000000006</v>
      </c>
      <c r="H140" s="200"/>
      <c r="I140" s="200"/>
      <c r="J140" s="200">
        <f>SUM(G140:I140)</f>
        <v>96.727590000000006</v>
      </c>
      <c r="K140" s="102">
        <f t="shared" si="6"/>
        <v>90.399616822429905</v>
      </c>
      <c r="L140" s="20" t="s">
        <v>185</v>
      </c>
      <c r="P140" s="95">
        <f>39.7+57</f>
        <v>96.7</v>
      </c>
    </row>
    <row r="141" spans="1:20" s="2" customFormat="1" ht="40.5" customHeight="1">
      <c r="A141" s="596" t="s">
        <v>54</v>
      </c>
      <c r="B141" s="597"/>
      <c r="C141" s="188">
        <f>C110+C133+C131+C97+C130+C101+C102+C47+C92+C107+C81+C48+C11+C123+C140+C10+C7-0.1</f>
        <v>774350.55484999996</v>
      </c>
      <c r="D141" s="188">
        <f>D110+D133+D131+D97+D130+D101+D102+D47+D92+D107+D81+D48+D11+D123+D140+D10+D7</f>
        <v>956070.38994000002</v>
      </c>
      <c r="E141" s="188">
        <f>E110+E133+E131+E97+E130+E101+E102+E47+E92+E107+E81+E48+E11+E123+E140+E10+E7</f>
        <v>278192.72149999999</v>
      </c>
      <c r="F141" s="188">
        <f>F110+F133+F131+F97+F130+F101+F102+F47+F92+F107+F81+F48+F11+F123+F140+F10+F7-0.1</f>
        <v>2008613.6662900001</v>
      </c>
      <c r="G141" s="188">
        <f>G110+G133+G131+G97+G130+G101+G102+G47+G92+G107+G81+G48+G11+G123+G140+G10+G7+0.1</f>
        <v>854522.36784001009</v>
      </c>
      <c r="H141" s="188">
        <f>H110+H133+H131+H97+H130+H101+H102+H47+H92+H107+H81+H48+H11+H123+H140+H10+H7</f>
        <v>831205.92157000001</v>
      </c>
      <c r="I141" s="188">
        <f>I110+I133+I131+I97+I130+I101+I102+I47+I92+I107+I81+I48+I11+I123+I140+I10+I7</f>
        <v>258733.83701000002</v>
      </c>
      <c r="J141" s="188">
        <f>J110+J133+J131+J97+J130+J101+J102+J47+J92+J107+J81+J48+J11+J123+J140+J10+J7</f>
        <v>1944462.0264200098</v>
      </c>
      <c r="K141" s="114">
        <f>J141/F141*100</f>
        <v>96.806173285254943</v>
      </c>
      <c r="L141" s="115"/>
      <c r="P141" s="68"/>
    </row>
    <row r="142" spans="1:20" s="2" customFormat="1" ht="40.5" hidden="1" customHeight="1">
      <c r="A142" s="3"/>
      <c r="B142" s="3"/>
      <c r="C142" s="189">
        <v>748770.2</v>
      </c>
      <c r="D142" s="189">
        <v>880402.6</v>
      </c>
      <c r="E142" s="189">
        <v>260171.6</v>
      </c>
      <c r="F142" s="189">
        <v>1889344.3</v>
      </c>
      <c r="G142" s="189">
        <v>335269.2</v>
      </c>
      <c r="H142" s="189">
        <v>377485.6</v>
      </c>
      <c r="I142" s="189">
        <v>80128.600000000006</v>
      </c>
      <c r="J142" s="189">
        <v>792883.4</v>
      </c>
      <c r="K142" s="89"/>
      <c r="L142" s="65"/>
      <c r="P142" s="68"/>
    </row>
    <row r="143" spans="1:20" s="2" customFormat="1" ht="108.75" hidden="1" customHeight="1">
      <c r="A143" s="3"/>
      <c r="B143" s="3"/>
      <c r="C143" s="189">
        <f>14175.4+48+393503.9+5051.2+102635.5+14833.7+13008.7+28368.7+21+198+1802.5+28261.1+41163.9+390+4079.5+101122+107</f>
        <v>748770.1</v>
      </c>
      <c r="D143" s="189">
        <f>2011.3+625383.9+455+471.9+1464.7+96572+3513+2000+20000+111027.6+192.7+523+16787.4</f>
        <v>880402.5</v>
      </c>
      <c r="E143" s="189">
        <f>230.6+71229.3+165.8+115303+11061.5+737.8+61443.6</f>
        <v>260171.6</v>
      </c>
      <c r="F143" s="189">
        <f>16417.3+48+1090117.1+5506.2+103273.2+131601.4+120642.2+31881.7+21+198+3802.5+48261.1+152191.5+1320.5+4602.5+179353+107</f>
        <v>1889344.2</v>
      </c>
      <c r="G143" s="189">
        <f>5825.1+35.2+181824.6+2660.1+45161+5746.8+6852.4+8306.2+6.1+6.9+809.7+1488.2+69577.5+1403.3+5566</f>
        <v>335269.10000000003</v>
      </c>
      <c r="H143" s="189">
        <f>757.9+330096.2+157.6+206.7+501+41396.2+1000+772.2+323.6+2274.2</f>
        <v>377485.60000000003</v>
      </c>
      <c r="I143" s="189">
        <f>230.6+32492.7+165.8+19899.9+9396+17943.6</f>
        <v>80128.600000000006</v>
      </c>
      <c r="J143" s="189">
        <f>6813.6+35.2+544413.5+2817.7+45533.5+26147.7+57644.6+8306.2+6.1+6.9+1809.7+1488.2+70349.7+1726.9+25783.8</f>
        <v>792883.29999999981</v>
      </c>
      <c r="K143" s="89"/>
      <c r="L143" s="65"/>
      <c r="P143" s="68"/>
    </row>
    <row r="144" spans="1:20" hidden="1">
      <c r="A144" s="48"/>
      <c r="B144" s="49"/>
      <c r="C144" s="190">
        <f>C143-C141</f>
        <v>-25580.45484999998</v>
      </c>
      <c r="D144" s="190">
        <f t="shared" ref="D144:J144" si="7">D143-D141</f>
        <v>-75667.889940000023</v>
      </c>
      <c r="E144" s="190">
        <f t="shared" si="7"/>
        <v>-18021.121499999979</v>
      </c>
      <c r="F144" s="190">
        <f t="shared" si="7"/>
        <v>-119269.46629000013</v>
      </c>
      <c r="G144" s="190">
        <f t="shared" si="7"/>
        <v>-519253.26784001006</v>
      </c>
      <c r="H144" s="190">
        <f t="shared" si="7"/>
        <v>-453720.32156999997</v>
      </c>
      <c r="I144" s="190">
        <f t="shared" si="7"/>
        <v>-178605.23701000001</v>
      </c>
      <c r="J144" s="190">
        <f t="shared" si="7"/>
        <v>-1151578.72642001</v>
      </c>
      <c r="K144" s="90"/>
      <c r="L144" s="66"/>
    </row>
    <row r="145" spans="1:18" ht="82.5" customHeight="1">
      <c r="A145" s="82" t="s">
        <v>151</v>
      </c>
      <c r="B145" s="82"/>
      <c r="C145" s="191"/>
      <c r="D145" s="191"/>
      <c r="E145" s="191"/>
      <c r="F145" s="191"/>
      <c r="G145" s="192"/>
      <c r="H145" s="192"/>
      <c r="I145" s="192"/>
      <c r="J145" s="191"/>
      <c r="K145" s="116"/>
      <c r="L145" s="117"/>
    </row>
    <row r="146" spans="1:18" ht="27.75">
      <c r="A146" s="83" t="s">
        <v>55</v>
      </c>
      <c r="B146" s="83"/>
      <c r="C146" s="193"/>
      <c r="D146" s="191"/>
      <c r="E146" s="191"/>
      <c r="F146" s="191"/>
      <c r="G146" s="192"/>
      <c r="H146" s="192"/>
      <c r="I146" s="192"/>
      <c r="J146" s="191"/>
      <c r="K146" s="116"/>
      <c r="L146" s="117"/>
    </row>
    <row r="147" spans="1:18" ht="27.75">
      <c r="A147" s="84" t="s">
        <v>152</v>
      </c>
      <c r="B147" s="84"/>
      <c r="C147" s="194"/>
      <c r="D147" s="195"/>
      <c r="E147" s="196"/>
      <c r="F147" s="197"/>
      <c r="G147" s="198"/>
      <c r="H147" s="198"/>
      <c r="I147" s="198"/>
      <c r="J147" s="197"/>
      <c r="K147" s="118"/>
      <c r="L147" s="119" t="s">
        <v>56</v>
      </c>
    </row>
    <row r="148" spans="1:18" ht="19.5">
      <c r="B148" s="50"/>
      <c r="D148" s="185"/>
      <c r="E148" s="185"/>
      <c r="K148" s="118"/>
      <c r="L148" s="1"/>
    </row>
    <row r="149" spans="1:18" ht="48.75" customHeight="1">
      <c r="D149" s="185"/>
      <c r="E149" s="185"/>
      <c r="K149" s="118"/>
      <c r="L149" s="5"/>
    </row>
    <row r="150" spans="1:18">
      <c r="A150" s="1" t="s">
        <v>57</v>
      </c>
      <c r="D150" s="185"/>
      <c r="E150" s="185"/>
      <c r="K150" s="118"/>
      <c r="L150" s="120"/>
    </row>
    <row r="151" spans="1:18" hidden="1">
      <c r="A151" s="1" t="s">
        <v>70</v>
      </c>
      <c r="D151" s="185"/>
      <c r="E151" s="185"/>
      <c r="K151" s="118"/>
      <c r="L151" s="120"/>
    </row>
    <row r="152" spans="1:18" hidden="1">
      <c r="A152" s="1" t="s">
        <v>71</v>
      </c>
      <c r="D152" s="185"/>
      <c r="E152" s="185"/>
      <c r="K152" s="118"/>
      <c r="L152" s="120"/>
    </row>
    <row r="153" spans="1:18" ht="24.75" customHeight="1">
      <c r="A153" s="612" t="s">
        <v>110</v>
      </c>
      <c r="B153" s="612"/>
      <c r="D153" s="185"/>
      <c r="E153" s="185"/>
      <c r="K153" s="118"/>
      <c r="L153" s="121"/>
      <c r="R153" s="59"/>
    </row>
    <row r="154" spans="1:18">
      <c r="D154" s="185"/>
      <c r="E154" s="185"/>
      <c r="K154" s="118"/>
      <c r="L154" s="1"/>
    </row>
    <row r="155" spans="1:18">
      <c r="D155" s="185"/>
      <c r="E155" s="185"/>
      <c r="K155" s="118"/>
      <c r="L155" s="1"/>
    </row>
    <row r="156" spans="1:18">
      <c r="D156" s="185"/>
      <c r="E156" s="185"/>
      <c r="K156" s="118"/>
      <c r="L156" s="120"/>
    </row>
    <row r="157" spans="1:18">
      <c r="D157" s="185"/>
      <c r="E157" s="185"/>
      <c r="K157" s="118"/>
      <c r="L157" s="120"/>
    </row>
    <row r="158" spans="1:18">
      <c r="D158" s="185"/>
      <c r="E158" s="185"/>
      <c r="K158" s="118"/>
      <c r="L158" s="1"/>
    </row>
    <row r="159" spans="1:18">
      <c r="D159" s="185"/>
      <c r="E159" s="185"/>
      <c r="K159" s="118"/>
      <c r="L159" s="1"/>
    </row>
    <row r="160" spans="1:18">
      <c r="D160" s="185"/>
      <c r="E160" s="185"/>
      <c r="K160" s="118"/>
      <c r="L160" s="1"/>
    </row>
    <row r="161" spans="4:12">
      <c r="D161" s="185"/>
      <c r="E161" s="185"/>
      <c r="K161" s="118"/>
      <c r="L161" s="1"/>
    </row>
    <row r="162" spans="4:12">
      <c r="D162" s="185"/>
      <c r="E162" s="185"/>
      <c r="K162" s="118"/>
      <c r="L162" s="1"/>
    </row>
    <row r="163" spans="4:12">
      <c r="D163" s="185"/>
      <c r="K163" s="118"/>
      <c r="L163" s="1"/>
    </row>
    <row r="164" spans="4:12">
      <c r="D164" s="185"/>
      <c r="K164" s="118"/>
      <c r="L164" s="1"/>
    </row>
    <row r="165" spans="4:12">
      <c r="K165" s="118"/>
      <c r="L165" s="1"/>
    </row>
    <row r="166" spans="4:12">
      <c r="K166" s="118"/>
      <c r="L166" s="1"/>
    </row>
    <row r="167" spans="4:12">
      <c r="K167" s="118"/>
      <c r="L167" s="1"/>
    </row>
    <row r="168" spans="4:12">
      <c r="K168" s="118"/>
      <c r="L168" s="1"/>
    </row>
    <row r="169" spans="4:12">
      <c r="K169" s="118"/>
      <c r="L169" s="1"/>
    </row>
    <row r="170" spans="4:12">
      <c r="K170" s="118"/>
      <c r="L170" s="1"/>
    </row>
    <row r="171" spans="4:12">
      <c r="K171" s="118"/>
      <c r="L171" s="1"/>
    </row>
    <row r="172" spans="4:12">
      <c r="K172" s="118"/>
      <c r="L172" s="1"/>
    </row>
    <row r="173" spans="4:12">
      <c r="K173" s="118"/>
      <c r="L173" s="1"/>
    </row>
    <row r="174" spans="4:12">
      <c r="K174" s="118"/>
      <c r="L174" s="1"/>
    </row>
    <row r="175" spans="4:12">
      <c r="K175" s="118"/>
      <c r="L175" s="1"/>
    </row>
    <row r="176" spans="4:12">
      <c r="K176" s="118"/>
      <c r="L176" s="1"/>
    </row>
    <row r="177" spans="11:12">
      <c r="K177" s="118"/>
      <c r="L177" s="1"/>
    </row>
    <row r="178" spans="11:12">
      <c r="K178" s="118"/>
      <c r="L178" s="1"/>
    </row>
    <row r="179" spans="11:12">
      <c r="K179" s="118"/>
      <c r="L179" s="1"/>
    </row>
    <row r="180" spans="11:12">
      <c r="K180" s="118"/>
      <c r="L180" s="1"/>
    </row>
    <row r="181" spans="11:12">
      <c r="K181" s="118"/>
      <c r="L181" s="1"/>
    </row>
    <row r="182" spans="11:12">
      <c r="K182" s="118"/>
      <c r="L182" s="1"/>
    </row>
    <row r="183" spans="11:12">
      <c r="K183" s="118"/>
      <c r="L183" s="1"/>
    </row>
    <row r="184" spans="11:12">
      <c r="K184" s="118"/>
      <c r="L184" s="1"/>
    </row>
    <row r="185" spans="11:12">
      <c r="K185" s="118"/>
      <c r="L185" s="1"/>
    </row>
    <row r="186" spans="11:12">
      <c r="K186" s="118"/>
      <c r="L186" s="1"/>
    </row>
    <row r="187" spans="11:12">
      <c r="K187" s="118"/>
      <c r="L187" s="1"/>
    </row>
    <row r="188" spans="11:12">
      <c r="K188" s="118"/>
      <c r="L188" s="1"/>
    </row>
    <row r="189" spans="11:12">
      <c r="K189" s="118"/>
      <c r="L189" s="1"/>
    </row>
    <row r="190" spans="11:12">
      <c r="K190" s="118"/>
      <c r="L190" s="1"/>
    </row>
    <row r="191" spans="11:12">
      <c r="K191" s="118"/>
      <c r="L191" s="1"/>
    </row>
    <row r="192" spans="11:12">
      <c r="K192" s="118"/>
      <c r="L192" s="1"/>
    </row>
    <row r="193" spans="11:12">
      <c r="K193" s="118"/>
      <c r="L193" s="1"/>
    </row>
    <row r="194" spans="11:12">
      <c r="K194" s="118"/>
      <c r="L194" s="1"/>
    </row>
    <row r="195" spans="11:12">
      <c r="K195" s="118"/>
      <c r="L195" s="1"/>
    </row>
    <row r="196" spans="11:12">
      <c r="K196" s="118"/>
      <c r="L196" s="1"/>
    </row>
    <row r="197" spans="11:12">
      <c r="K197" s="118"/>
      <c r="L197" s="1"/>
    </row>
    <row r="198" spans="11:12">
      <c r="K198" s="118"/>
      <c r="L198" s="1"/>
    </row>
    <row r="199" spans="11:12">
      <c r="K199" s="118"/>
      <c r="L199" s="1"/>
    </row>
    <row r="200" spans="11:12">
      <c r="K200" s="118"/>
      <c r="L200" s="1"/>
    </row>
    <row r="201" spans="11:12">
      <c r="K201" s="118"/>
      <c r="L201" s="1"/>
    </row>
    <row r="202" spans="11:12">
      <c r="K202" s="118"/>
      <c r="L202" s="1"/>
    </row>
    <row r="203" spans="11:12">
      <c r="K203" s="118"/>
      <c r="L203" s="1"/>
    </row>
    <row r="204" spans="11:12">
      <c r="K204" s="118"/>
      <c r="L204" s="1"/>
    </row>
    <row r="205" spans="11:12">
      <c r="K205" s="118"/>
      <c r="L205" s="1"/>
    </row>
    <row r="206" spans="11:12">
      <c r="K206" s="118"/>
      <c r="L206" s="1"/>
    </row>
    <row r="207" spans="11:12">
      <c r="K207" s="118"/>
      <c r="L207" s="1"/>
    </row>
    <row r="208" spans="11:12">
      <c r="K208" s="118"/>
      <c r="L208" s="1"/>
    </row>
    <row r="209" spans="11:12">
      <c r="K209" s="118"/>
      <c r="L209" s="1"/>
    </row>
    <row r="210" spans="11:12">
      <c r="K210" s="118"/>
      <c r="L210" s="1"/>
    </row>
    <row r="211" spans="11:12">
      <c r="K211" s="118"/>
      <c r="L211" s="1"/>
    </row>
    <row r="212" spans="11:12">
      <c r="K212" s="118"/>
      <c r="L212" s="1"/>
    </row>
    <row r="213" spans="11:12">
      <c r="K213" s="118"/>
      <c r="L213" s="1"/>
    </row>
    <row r="214" spans="11:12">
      <c r="K214" s="118"/>
      <c r="L214" s="1"/>
    </row>
    <row r="215" spans="11:12">
      <c r="K215" s="118"/>
      <c r="L215" s="1"/>
    </row>
    <row r="216" spans="11:12">
      <c r="K216" s="118"/>
      <c r="L216" s="1"/>
    </row>
    <row r="217" spans="11:12">
      <c r="K217" s="118"/>
      <c r="L217" s="1"/>
    </row>
    <row r="218" spans="11:12">
      <c r="K218" s="118"/>
      <c r="L218" s="1"/>
    </row>
    <row r="219" spans="11:12">
      <c r="K219" s="118"/>
      <c r="L219" s="1"/>
    </row>
    <row r="220" spans="11:12">
      <c r="K220" s="118"/>
      <c r="L220" s="1"/>
    </row>
    <row r="221" spans="11:12">
      <c r="K221" s="118"/>
      <c r="L221" s="1"/>
    </row>
    <row r="222" spans="11:12">
      <c r="K222" s="118"/>
      <c r="L222" s="1"/>
    </row>
    <row r="223" spans="11:12">
      <c r="K223" s="118"/>
      <c r="L223" s="1"/>
    </row>
    <row r="224" spans="11:12">
      <c r="K224" s="118"/>
      <c r="L224" s="1"/>
    </row>
    <row r="225" spans="11:12">
      <c r="K225" s="118"/>
      <c r="L225" s="1"/>
    </row>
    <row r="226" spans="11:12">
      <c r="K226" s="118"/>
      <c r="L226" s="1"/>
    </row>
    <row r="227" spans="11:12">
      <c r="K227" s="118"/>
      <c r="L227" s="1"/>
    </row>
    <row r="228" spans="11:12">
      <c r="K228" s="118"/>
      <c r="L228" s="1"/>
    </row>
    <row r="229" spans="11:12">
      <c r="K229" s="118"/>
      <c r="L229" s="1"/>
    </row>
    <row r="230" spans="11:12">
      <c r="K230" s="118"/>
      <c r="L230" s="1"/>
    </row>
    <row r="231" spans="11:12">
      <c r="K231" s="118"/>
      <c r="L231" s="1"/>
    </row>
    <row r="232" spans="11:12">
      <c r="K232" s="118"/>
      <c r="L232" s="1"/>
    </row>
    <row r="233" spans="11:12">
      <c r="K233" s="118"/>
      <c r="L233" s="1"/>
    </row>
    <row r="234" spans="11:12">
      <c r="K234" s="118"/>
      <c r="L234" s="1"/>
    </row>
    <row r="235" spans="11:12">
      <c r="K235" s="118"/>
      <c r="L235" s="1"/>
    </row>
    <row r="236" spans="11:12">
      <c r="K236" s="118"/>
      <c r="L236" s="1"/>
    </row>
    <row r="237" spans="11:12">
      <c r="K237" s="118"/>
      <c r="L237" s="1"/>
    </row>
    <row r="238" spans="11:12">
      <c r="K238" s="118"/>
      <c r="L238" s="1"/>
    </row>
    <row r="239" spans="11:12">
      <c r="K239" s="118"/>
      <c r="L239" s="1"/>
    </row>
    <row r="240" spans="11:12">
      <c r="K240" s="118"/>
      <c r="L240" s="1"/>
    </row>
    <row r="241" spans="11:12">
      <c r="K241" s="118"/>
      <c r="L241" s="1"/>
    </row>
    <row r="242" spans="11:12">
      <c r="K242" s="118"/>
      <c r="L242" s="1"/>
    </row>
    <row r="243" spans="11:12">
      <c r="K243" s="118"/>
      <c r="L243" s="1"/>
    </row>
    <row r="244" spans="11:12">
      <c r="K244" s="118"/>
      <c r="L244" s="1"/>
    </row>
    <row r="245" spans="11:12">
      <c r="K245" s="118"/>
      <c r="L245" s="1"/>
    </row>
    <row r="246" spans="11:12">
      <c r="K246" s="118"/>
      <c r="L246" s="1"/>
    </row>
    <row r="247" spans="11:12">
      <c r="K247" s="118"/>
      <c r="L247" s="1"/>
    </row>
    <row r="248" spans="11:12">
      <c r="K248" s="118"/>
      <c r="L248" s="1"/>
    </row>
    <row r="249" spans="11:12">
      <c r="K249" s="118"/>
      <c r="L249" s="1"/>
    </row>
    <row r="250" spans="11:12">
      <c r="K250" s="118"/>
      <c r="L250" s="1"/>
    </row>
    <row r="251" spans="11:12">
      <c r="K251" s="118"/>
      <c r="L251" s="1"/>
    </row>
    <row r="252" spans="11:12">
      <c r="K252" s="118"/>
      <c r="L252" s="1"/>
    </row>
    <row r="253" spans="11:12">
      <c r="K253" s="118"/>
      <c r="L253" s="1"/>
    </row>
    <row r="254" spans="11:12">
      <c r="K254" s="118"/>
      <c r="L254" s="1"/>
    </row>
    <row r="255" spans="11:12">
      <c r="K255" s="118"/>
      <c r="L255" s="1"/>
    </row>
    <row r="256" spans="11:12">
      <c r="K256" s="118"/>
      <c r="L256" s="1"/>
    </row>
    <row r="257" spans="11:12">
      <c r="K257" s="118"/>
      <c r="L257" s="1"/>
    </row>
    <row r="258" spans="11:12">
      <c r="K258" s="118"/>
      <c r="L258" s="1"/>
    </row>
    <row r="259" spans="11:12">
      <c r="K259" s="118"/>
      <c r="L259" s="1"/>
    </row>
    <row r="260" spans="11:12">
      <c r="K260" s="118"/>
      <c r="L260" s="1"/>
    </row>
    <row r="261" spans="11:12">
      <c r="K261" s="118"/>
      <c r="L261" s="1"/>
    </row>
    <row r="262" spans="11:12">
      <c r="K262" s="118"/>
      <c r="L262" s="1"/>
    </row>
    <row r="263" spans="11:12">
      <c r="K263" s="118"/>
      <c r="L263" s="1"/>
    </row>
    <row r="264" spans="11:12">
      <c r="K264" s="118"/>
      <c r="L264" s="1"/>
    </row>
    <row r="265" spans="11:12">
      <c r="K265" s="118"/>
      <c r="L265" s="1"/>
    </row>
    <row r="266" spans="11:12">
      <c r="K266" s="118"/>
      <c r="L266" s="1"/>
    </row>
    <row r="267" spans="11:12">
      <c r="K267" s="118"/>
      <c r="L267" s="1"/>
    </row>
    <row r="268" spans="11:12">
      <c r="K268" s="118"/>
      <c r="L268" s="1"/>
    </row>
    <row r="269" spans="11:12">
      <c r="K269" s="118"/>
      <c r="L269" s="1"/>
    </row>
    <row r="270" spans="11:12">
      <c r="K270" s="118"/>
      <c r="L270" s="1"/>
    </row>
    <row r="271" spans="11:12">
      <c r="K271" s="118"/>
      <c r="L271" s="1"/>
    </row>
    <row r="272" spans="11:12">
      <c r="K272" s="118"/>
      <c r="L272" s="1"/>
    </row>
    <row r="273" spans="11:12">
      <c r="K273" s="118"/>
      <c r="L273" s="1"/>
    </row>
    <row r="274" spans="11:12">
      <c r="K274" s="118"/>
      <c r="L274" s="1"/>
    </row>
    <row r="275" spans="11:12">
      <c r="K275" s="118"/>
      <c r="L275" s="1"/>
    </row>
    <row r="276" spans="11:12">
      <c r="K276" s="118"/>
      <c r="L276" s="1"/>
    </row>
    <row r="277" spans="11:12">
      <c r="K277" s="118"/>
      <c r="L277" s="1"/>
    </row>
    <row r="278" spans="11:12">
      <c r="K278" s="118"/>
      <c r="L278" s="1"/>
    </row>
    <row r="279" spans="11:12">
      <c r="K279" s="118"/>
      <c r="L279" s="1"/>
    </row>
    <row r="280" spans="11:12">
      <c r="K280" s="118"/>
      <c r="L280" s="1"/>
    </row>
    <row r="281" spans="11:12">
      <c r="K281" s="118"/>
      <c r="L281" s="1"/>
    </row>
    <row r="282" spans="11:12">
      <c r="K282" s="118"/>
      <c r="L282" s="1"/>
    </row>
    <row r="283" spans="11:12">
      <c r="K283" s="118"/>
      <c r="L283" s="1"/>
    </row>
    <row r="284" spans="11:12">
      <c r="K284" s="118"/>
      <c r="L284" s="1"/>
    </row>
    <row r="285" spans="11:12">
      <c r="K285" s="118"/>
      <c r="L285" s="1"/>
    </row>
    <row r="286" spans="11:12">
      <c r="K286" s="118"/>
      <c r="L286" s="1"/>
    </row>
    <row r="287" spans="11:12">
      <c r="K287" s="118"/>
      <c r="L287" s="1"/>
    </row>
    <row r="288" spans="11:12">
      <c r="K288" s="118"/>
      <c r="L288" s="1"/>
    </row>
    <row r="289" spans="11:12">
      <c r="K289" s="118"/>
      <c r="L289" s="1"/>
    </row>
    <row r="290" spans="11:12">
      <c r="K290" s="118"/>
      <c r="L290" s="1"/>
    </row>
    <row r="291" spans="11:12">
      <c r="K291" s="118"/>
      <c r="L291" s="1"/>
    </row>
    <row r="292" spans="11:12">
      <c r="K292" s="118"/>
      <c r="L292" s="1"/>
    </row>
    <row r="293" spans="11:12">
      <c r="K293" s="118"/>
      <c r="L293" s="1"/>
    </row>
    <row r="294" spans="11:12">
      <c r="K294" s="118"/>
      <c r="L294" s="1"/>
    </row>
    <row r="295" spans="11:12">
      <c r="K295" s="118"/>
      <c r="L295" s="1"/>
    </row>
    <row r="296" spans="11:12">
      <c r="K296" s="118"/>
      <c r="L296" s="1"/>
    </row>
    <row r="297" spans="11:12">
      <c r="K297" s="118"/>
      <c r="L297" s="1"/>
    </row>
    <row r="298" spans="11:12">
      <c r="K298" s="118"/>
      <c r="L298" s="1"/>
    </row>
    <row r="299" spans="11:12">
      <c r="K299" s="118"/>
      <c r="L299" s="1"/>
    </row>
    <row r="300" spans="11:12">
      <c r="K300" s="118"/>
      <c r="L300" s="1"/>
    </row>
    <row r="301" spans="11:12">
      <c r="K301" s="118"/>
      <c r="L301" s="1"/>
    </row>
    <row r="302" spans="11:12">
      <c r="K302" s="118"/>
      <c r="L302" s="1"/>
    </row>
    <row r="303" spans="11:12">
      <c r="K303" s="118"/>
      <c r="L303" s="1"/>
    </row>
    <row r="304" spans="11:12">
      <c r="K304" s="118"/>
      <c r="L304" s="1"/>
    </row>
    <row r="305" spans="11:12">
      <c r="K305" s="118"/>
      <c r="L305" s="1"/>
    </row>
    <row r="306" spans="11:12">
      <c r="K306" s="118"/>
      <c r="L306" s="1"/>
    </row>
    <row r="307" spans="11:12">
      <c r="K307" s="118"/>
      <c r="L307" s="1"/>
    </row>
    <row r="308" spans="11:12">
      <c r="K308" s="118"/>
      <c r="L308" s="1"/>
    </row>
    <row r="309" spans="11:12">
      <c r="K309" s="118"/>
      <c r="L309" s="1"/>
    </row>
    <row r="310" spans="11:12">
      <c r="K310" s="118"/>
      <c r="L310" s="1"/>
    </row>
    <row r="311" spans="11:12">
      <c r="K311" s="118"/>
      <c r="L311" s="1"/>
    </row>
    <row r="312" spans="11:12">
      <c r="K312" s="118"/>
      <c r="L312" s="1"/>
    </row>
    <row r="313" spans="11:12">
      <c r="K313" s="118"/>
      <c r="L313" s="1"/>
    </row>
    <row r="314" spans="11:12">
      <c r="K314" s="118"/>
      <c r="L314" s="1"/>
    </row>
    <row r="315" spans="11:12">
      <c r="K315" s="118"/>
      <c r="L315" s="1"/>
    </row>
    <row r="316" spans="11:12">
      <c r="K316" s="118"/>
      <c r="L316" s="1"/>
    </row>
    <row r="317" spans="11:12">
      <c r="K317" s="118"/>
      <c r="L317" s="1"/>
    </row>
    <row r="318" spans="11:12">
      <c r="K318" s="118"/>
      <c r="L318" s="1"/>
    </row>
    <row r="319" spans="11:12">
      <c r="K319" s="118"/>
      <c r="L319" s="1"/>
    </row>
    <row r="320" spans="11:12">
      <c r="K320" s="118"/>
      <c r="L320" s="1"/>
    </row>
    <row r="321" spans="11:12">
      <c r="K321" s="118"/>
      <c r="L321" s="1"/>
    </row>
    <row r="322" spans="11:12">
      <c r="K322" s="118"/>
      <c r="L322" s="1"/>
    </row>
    <row r="323" spans="11:12">
      <c r="K323" s="118"/>
      <c r="L323" s="1"/>
    </row>
    <row r="324" spans="11:12">
      <c r="K324" s="118"/>
      <c r="L324" s="1"/>
    </row>
    <row r="325" spans="11:12">
      <c r="K325" s="118"/>
      <c r="L325" s="1"/>
    </row>
    <row r="326" spans="11:12">
      <c r="K326" s="118"/>
      <c r="L326" s="1"/>
    </row>
    <row r="327" spans="11:12">
      <c r="K327" s="118"/>
      <c r="L327" s="1"/>
    </row>
    <row r="328" spans="11:12">
      <c r="K328" s="118"/>
      <c r="L328" s="1"/>
    </row>
    <row r="329" spans="11:12">
      <c r="K329" s="118"/>
      <c r="L329" s="1"/>
    </row>
    <row r="330" spans="11:12">
      <c r="K330" s="118"/>
      <c r="L330" s="1"/>
    </row>
    <row r="331" spans="11:12">
      <c r="K331" s="118"/>
      <c r="L331" s="1"/>
    </row>
    <row r="332" spans="11:12">
      <c r="K332" s="118"/>
      <c r="L332" s="1"/>
    </row>
    <row r="333" spans="11:12">
      <c r="K333" s="118"/>
      <c r="L333" s="1"/>
    </row>
    <row r="334" spans="11:12">
      <c r="K334" s="118"/>
      <c r="L334" s="1"/>
    </row>
    <row r="335" spans="11:12">
      <c r="K335" s="118"/>
      <c r="L335" s="1"/>
    </row>
    <row r="336" spans="11:12">
      <c r="K336" s="118"/>
      <c r="L336" s="1"/>
    </row>
    <row r="337" spans="11:12">
      <c r="K337" s="118"/>
      <c r="L337" s="1"/>
    </row>
    <row r="338" spans="11:12">
      <c r="K338" s="118"/>
      <c r="L338" s="1"/>
    </row>
    <row r="339" spans="11:12">
      <c r="K339" s="118"/>
      <c r="L339" s="1"/>
    </row>
    <row r="340" spans="11:12">
      <c r="K340" s="118"/>
      <c r="L340" s="1"/>
    </row>
    <row r="341" spans="11:12">
      <c r="K341" s="118"/>
      <c r="L341" s="1"/>
    </row>
    <row r="342" spans="11:12">
      <c r="K342" s="118"/>
      <c r="L342" s="1"/>
    </row>
    <row r="343" spans="11:12">
      <c r="K343" s="118"/>
      <c r="L343" s="1"/>
    </row>
    <row r="344" spans="11:12">
      <c r="K344" s="118"/>
      <c r="L344" s="1"/>
    </row>
    <row r="345" spans="11:12">
      <c r="K345" s="118"/>
      <c r="L345" s="1"/>
    </row>
    <row r="346" spans="11:12">
      <c r="K346" s="118"/>
      <c r="L346" s="1"/>
    </row>
    <row r="347" spans="11:12">
      <c r="K347" s="118"/>
      <c r="L347" s="1"/>
    </row>
    <row r="348" spans="11:12">
      <c r="K348" s="118"/>
      <c r="L348" s="1"/>
    </row>
    <row r="349" spans="11:12">
      <c r="K349" s="118"/>
      <c r="L349" s="1"/>
    </row>
    <row r="350" spans="11:12">
      <c r="K350" s="118"/>
      <c r="L350" s="1"/>
    </row>
    <row r="351" spans="11:12">
      <c r="K351" s="118"/>
      <c r="L351" s="1"/>
    </row>
    <row r="352" spans="11:12">
      <c r="K352" s="118"/>
      <c r="L352" s="1"/>
    </row>
    <row r="353" spans="11:12">
      <c r="K353" s="118"/>
      <c r="L353" s="1"/>
    </row>
    <row r="354" spans="11:12">
      <c r="K354" s="118"/>
      <c r="L354" s="1"/>
    </row>
    <row r="355" spans="11:12">
      <c r="K355" s="118"/>
      <c r="L355" s="1"/>
    </row>
    <row r="356" spans="11:12">
      <c r="K356" s="118"/>
      <c r="L356" s="1"/>
    </row>
    <row r="357" spans="11:12">
      <c r="K357" s="118"/>
      <c r="L357" s="1"/>
    </row>
    <row r="358" spans="11:12">
      <c r="K358" s="118"/>
      <c r="L358" s="1"/>
    </row>
    <row r="359" spans="11:12">
      <c r="K359" s="118"/>
      <c r="L359" s="1"/>
    </row>
    <row r="360" spans="11:12">
      <c r="K360" s="118"/>
      <c r="L360" s="1"/>
    </row>
    <row r="361" spans="11:12">
      <c r="K361" s="118"/>
      <c r="L361" s="1"/>
    </row>
    <row r="362" spans="11:12">
      <c r="K362" s="118"/>
      <c r="L362" s="1"/>
    </row>
    <row r="363" spans="11:12">
      <c r="K363" s="118"/>
      <c r="L363" s="1"/>
    </row>
    <row r="364" spans="11:12">
      <c r="K364" s="118"/>
      <c r="L364" s="1"/>
    </row>
    <row r="365" spans="11:12">
      <c r="K365" s="118"/>
      <c r="L365" s="1"/>
    </row>
    <row r="366" spans="11:12">
      <c r="K366" s="118"/>
      <c r="L366" s="1"/>
    </row>
    <row r="367" spans="11:12">
      <c r="K367" s="118"/>
      <c r="L367" s="1"/>
    </row>
    <row r="368" spans="11:12">
      <c r="K368" s="118"/>
      <c r="L368" s="1"/>
    </row>
    <row r="369" spans="11:12">
      <c r="K369" s="118"/>
      <c r="L369" s="1"/>
    </row>
    <row r="370" spans="11:12">
      <c r="K370" s="118"/>
      <c r="L370" s="1"/>
    </row>
    <row r="371" spans="11:12">
      <c r="K371" s="118"/>
      <c r="L371" s="1"/>
    </row>
    <row r="372" spans="11:12">
      <c r="K372" s="118"/>
      <c r="L372" s="1"/>
    </row>
    <row r="373" spans="11:12">
      <c r="K373" s="118"/>
      <c r="L373" s="1"/>
    </row>
    <row r="374" spans="11:12">
      <c r="K374" s="118"/>
      <c r="L374" s="1"/>
    </row>
    <row r="375" spans="11:12">
      <c r="K375" s="118"/>
      <c r="L375" s="1"/>
    </row>
    <row r="376" spans="11:12">
      <c r="K376" s="118"/>
      <c r="L376" s="1"/>
    </row>
    <row r="377" spans="11:12">
      <c r="K377" s="118"/>
      <c r="L377" s="1"/>
    </row>
    <row r="378" spans="11:12">
      <c r="K378" s="118"/>
      <c r="L378" s="1"/>
    </row>
    <row r="379" spans="11:12">
      <c r="K379" s="118"/>
      <c r="L379" s="1"/>
    </row>
    <row r="380" spans="11:12">
      <c r="K380" s="118"/>
      <c r="L380" s="1"/>
    </row>
    <row r="381" spans="11:12">
      <c r="K381" s="118"/>
      <c r="L381" s="1"/>
    </row>
    <row r="382" spans="11:12">
      <c r="K382" s="118"/>
      <c r="L382" s="1"/>
    </row>
    <row r="383" spans="11:12">
      <c r="K383" s="118"/>
      <c r="L383" s="1"/>
    </row>
    <row r="384" spans="11:12">
      <c r="K384" s="118"/>
      <c r="L384" s="1"/>
    </row>
    <row r="385" spans="11:12">
      <c r="K385" s="118"/>
      <c r="L385" s="1"/>
    </row>
    <row r="386" spans="11:12">
      <c r="K386" s="118"/>
      <c r="L386" s="1"/>
    </row>
    <row r="387" spans="11:12">
      <c r="K387" s="118"/>
      <c r="L387" s="1"/>
    </row>
    <row r="388" spans="11:12">
      <c r="K388" s="118"/>
      <c r="L388" s="1"/>
    </row>
    <row r="389" spans="11:12">
      <c r="K389" s="118"/>
      <c r="L389" s="1"/>
    </row>
    <row r="390" spans="11:12">
      <c r="K390" s="118"/>
      <c r="L390" s="1"/>
    </row>
    <row r="391" spans="11:12">
      <c r="K391" s="118"/>
      <c r="L391" s="1"/>
    </row>
    <row r="392" spans="11:12">
      <c r="K392" s="118"/>
      <c r="L392" s="1"/>
    </row>
    <row r="393" spans="11:12">
      <c r="K393" s="118"/>
      <c r="L393" s="1"/>
    </row>
    <row r="394" spans="11:12">
      <c r="K394" s="118"/>
      <c r="L394" s="1"/>
    </row>
    <row r="395" spans="11:12">
      <c r="K395" s="118"/>
      <c r="L395" s="1"/>
    </row>
    <row r="396" spans="11:12">
      <c r="K396" s="118"/>
      <c r="L396" s="1"/>
    </row>
    <row r="397" spans="11:12">
      <c r="K397" s="118"/>
      <c r="L397" s="1"/>
    </row>
    <row r="398" spans="11:12">
      <c r="K398" s="118"/>
      <c r="L398" s="1"/>
    </row>
    <row r="399" spans="11:12">
      <c r="K399" s="118"/>
      <c r="L399" s="1"/>
    </row>
    <row r="400" spans="11:12">
      <c r="K400" s="118"/>
      <c r="L400" s="1"/>
    </row>
    <row r="401" spans="11:12">
      <c r="K401" s="118"/>
      <c r="L401" s="1"/>
    </row>
    <row r="402" spans="11:12">
      <c r="K402" s="118"/>
      <c r="L402" s="1"/>
    </row>
    <row r="403" spans="11:12">
      <c r="K403" s="118"/>
      <c r="L403" s="1"/>
    </row>
    <row r="404" spans="11:12">
      <c r="K404" s="118"/>
      <c r="L404" s="1"/>
    </row>
    <row r="405" spans="11:12">
      <c r="K405" s="118"/>
      <c r="L405" s="1"/>
    </row>
    <row r="406" spans="11:12">
      <c r="K406" s="118"/>
      <c r="L406" s="1"/>
    </row>
    <row r="407" spans="11:12">
      <c r="K407" s="118"/>
      <c r="L407" s="1"/>
    </row>
    <row r="408" spans="11:12">
      <c r="K408" s="118"/>
      <c r="L408" s="1"/>
    </row>
    <row r="409" spans="11:12">
      <c r="K409" s="118"/>
      <c r="L409" s="1"/>
    </row>
    <row r="410" spans="11:12">
      <c r="K410" s="118"/>
      <c r="L410" s="1"/>
    </row>
    <row r="411" spans="11:12">
      <c r="K411" s="118"/>
      <c r="L411" s="1"/>
    </row>
    <row r="412" spans="11:12">
      <c r="K412" s="118"/>
      <c r="L412" s="1"/>
    </row>
    <row r="413" spans="11:12">
      <c r="K413" s="118"/>
      <c r="L413" s="1"/>
    </row>
    <row r="414" spans="11:12">
      <c r="K414" s="118"/>
      <c r="L414" s="1"/>
    </row>
    <row r="415" spans="11:12">
      <c r="K415" s="118"/>
      <c r="L415" s="1"/>
    </row>
    <row r="416" spans="11:12">
      <c r="K416" s="118"/>
      <c r="L416" s="1"/>
    </row>
    <row r="417" spans="11:12">
      <c r="K417" s="118"/>
      <c r="L417" s="1"/>
    </row>
    <row r="418" spans="11:12">
      <c r="K418" s="118"/>
      <c r="L418" s="1"/>
    </row>
    <row r="419" spans="11:12">
      <c r="K419" s="118"/>
      <c r="L419" s="1"/>
    </row>
    <row r="420" spans="11:12">
      <c r="K420" s="118"/>
      <c r="L420" s="1"/>
    </row>
    <row r="421" spans="11:12">
      <c r="K421" s="118"/>
      <c r="L421" s="1"/>
    </row>
    <row r="422" spans="11:12">
      <c r="K422" s="118"/>
      <c r="L422" s="1"/>
    </row>
    <row r="423" spans="11:12">
      <c r="K423" s="118"/>
      <c r="L423" s="1"/>
    </row>
    <row r="424" spans="11:12">
      <c r="K424" s="118"/>
      <c r="L424" s="1"/>
    </row>
    <row r="425" spans="11:12">
      <c r="K425" s="118"/>
      <c r="L425" s="1"/>
    </row>
    <row r="426" spans="11:12">
      <c r="K426" s="118"/>
      <c r="L426" s="1"/>
    </row>
    <row r="427" spans="11:12">
      <c r="K427" s="118"/>
      <c r="L427" s="1"/>
    </row>
    <row r="428" spans="11:12">
      <c r="K428" s="118"/>
      <c r="L428" s="1"/>
    </row>
    <row r="429" spans="11:12">
      <c r="K429" s="118"/>
      <c r="L429" s="1"/>
    </row>
    <row r="430" spans="11:12">
      <c r="K430" s="118"/>
      <c r="L430" s="1"/>
    </row>
    <row r="431" spans="11:12">
      <c r="K431" s="118"/>
      <c r="L431" s="1"/>
    </row>
    <row r="432" spans="11:12">
      <c r="K432" s="118"/>
      <c r="L432" s="1"/>
    </row>
    <row r="433" spans="11:12">
      <c r="K433" s="118"/>
      <c r="L433" s="1"/>
    </row>
    <row r="434" spans="11:12">
      <c r="K434" s="118"/>
      <c r="L434" s="1"/>
    </row>
    <row r="435" spans="11:12">
      <c r="K435" s="118"/>
      <c r="L435" s="1"/>
    </row>
    <row r="436" spans="11:12">
      <c r="K436" s="118"/>
      <c r="L436" s="1"/>
    </row>
    <row r="437" spans="11:12">
      <c r="K437" s="118"/>
      <c r="L437" s="1"/>
    </row>
    <row r="438" spans="11:12">
      <c r="K438" s="118"/>
      <c r="L438" s="1"/>
    </row>
    <row r="439" spans="11:12">
      <c r="K439" s="118"/>
      <c r="L439" s="1"/>
    </row>
    <row r="440" spans="11:12">
      <c r="K440" s="118"/>
      <c r="L440" s="1"/>
    </row>
    <row r="441" spans="11:12">
      <c r="K441" s="118"/>
      <c r="L441" s="1"/>
    </row>
    <row r="442" spans="11:12">
      <c r="K442" s="118"/>
      <c r="L442" s="1"/>
    </row>
    <row r="443" spans="11:12">
      <c r="K443" s="118"/>
      <c r="L443" s="1"/>
    </row>
    <row r="444" spans="11:12">
      <c r="K444" s="118"/>
      <c r="L444" s="1"/>
    </row>
    <row r="445" spans="11:12">
      <c r="K445" s="118"/>
      <c r="L445" s="1"/>
    </row>
    <row r="446" spans="11:12">
      <c r="K446" s="118"/>
      <c r="L446" s="1"/>
    </row>
    <row r="447" spans="11:12">
      <c r="K447" s="118"/>
      <c r="L447" s="1"/>
    </row>
    <row r="448" spans="11:12">
      <c r="K448" s="118"/>
      <c r="L448" s="1"/>
    </row>
    <row r="449" spans="11:12">
      <c r="K449" s="118"/>
      <c r="L449" s="1"/>
    </row>
    <row r="450" spans="11:12">
      <c r="K450" s="118"/>
      <c r="L450" s="1"/>
    </row>
    <row r="451" spans="11:12">
      <c r="K451" s="118"/>
      <c r="L451" s="1"/>
    </row>
    <row r="452" spans="11:12">
      <c r="K452" s="118"/>
      <c r="L452" s="1"/>
    </row>
    <row r="453" spans="11:12">
      <c r="K453" s="118"/>
      <c r="L453" s="1"/>
    </row>
    <row r="454" spans="11:12">
      <c r="K454" s="118"/>
      <c r="L454" s="1"/>
    </row>
    <row r="455" spans="11:12">
      <c r="K455" s="118"/>
      <c r="L455" s="1"/>
    </row>
    <row r="456" spans="11:12">
      <c r="K456" s="118"/>
      <c r="L456" s="1"/>
    </row>
    <row r="457" spans="11:12">
      <c r="K457" s="118"/>
      <c r="L457" s="1"/>
    </row>
    <row r="458" spans="11:12">
      <c r="K458" s="118"/>
      <c r="L458" s="1"/>
    </row>
    <row r="459" spans="11:12">
      <c r="K459" s="118"/>
      <c r="L459" s="1"/>
    </row>
    <row r="460" spans="11:12">
      <c r="K460" s="118"/>
      <c r="L460" s="1"/>
    </row>
    <row r="461" spans="11:12">
      <c r="K461" s="118"/>
      <c r="L461" s="1"/>
    </row>
    <row r="462" spans="11:12">
      <c r="K462" s="118"/>
      <c r="L462" s="1"/>
    </row>
    <row r="463" spans="11:12">
      <c r="K463" s="118"/>
      <c r="L463" s="1"/>
    </row>
    <row r="464" spans="11:12">
      <c r="K464" s="118"/>
      <c r="L464" s="1"/>
    </row>
    <row r="465" spans="11:12">
      <c r="K465" s="118"/>
      <c r="L465" s="1"/>
    </row>
    <row r="466" spans="11:12">
      <c r="K466" s="118"/>
      <c r="L466" s="1"/>
    </row>
    <row r="467" spans="11:12">
      <c r="K467" s="118"/>
      <c r="L467" s="1"/>
    </row>
    <row r="468" spans="11:12">
      <c r="K468" s="118"/>
      <c r="L468" s="1"/>
    </row>
    <row r="469" spans="11:12">
      <c r="K469" s="118"/>
      <c r="L469" s="1"/>
    </row>
    <row r="470" spans="11:12">
      <c r="K470" s="118"/>
      <c r="L470" s="1"/>
    </row>
    <row r="471" spans="11:12">
      <c r="K471" s="118"/>
      <c r="L471" s="1"/>
    </row>
    <row r="472" spans="11:12">
      <c r="K472" s="118"/>
      <c r="L472" s="1"/>
    </row>
    <row r="473" spans="11:12">
      <c r="K473" s="118"/>
      <c r="L473" s="1"/>
    </row>
    <row r="474" spans="11:12">
      <c r="K474" s="118"/>
      <c r="L474" s="1"/>
    </row>
    <row r="475" spans="11:12">
      <c r="K475" s="118"/>
      <c r="L475" s="1"/>
    </row>
    <row r="476" spans="11:12">
      <c r="K476" s="118"/>
      <c r="L476" s="1"/>
    </row>
    <row r="477" spans="11:12">
      <c r="K477" s="118"/>
      <c r="L477" s="1"/>
    </row>
    <row r="478" spans="11:12">
      <c r="K478" s="118"/>
      <c r="L478" s="1"/>
    </row>
    <row r="479" spans="11:12">
      <c r="K479" s="118"/>
      <c r="L479" s="1"/>
    </row>
    <row r="480" spans="11:12">
      <c r="K480" s="118"/>
      <c r="L480" s="1"/>
    </row>
    <row r="481" spans="11:12">
      <c r="K481" s="118"/>
      <c r="L481" s="1"/>
    </row>
    <row r="482" spans="11:12">
      <c r="K482" s="118"/>
      <c r="L482" s="1"/>
    </row>
    <row r="483" spans="11:12">
      <c r="K483" s="118"/>
      <c r="L483" s="1"/>
    </row>
    <row r="484" spans="11:12">
      <c r="K484" s="118"/>
      <c r="L484" s="1"/>
    </row>
    <row r="485" spans="11:12">
      <c r="K485" s="118"/>
      <c r="L485" s="1"/>
    </row>
    <row r="486" spans="11:12">
      <c r="K486" s="118"/>
      <c r="L486" s="1"/>
    </row>
    <row r="487" spans="11:12">
      <c r="K487" s="118"/>
      <c r="L487" s="1"/>
    </row>
    <row r="488" spans="11:12">
      <c r="K488" s="118"/>
      <c r="L488" s="1"/>
    </row>
    <row r="489" spans="11:12">
      <c r="K489" s="118"/>
      <c r="L489" s="1"/>
    </row>
    <row r="490" spans="11:12">
      <c r="K490" s="118"/>
      <c r="L490" s="1"/>
    </row>
    <row r="491" spans="11:12">
      <c r="K491" s="118"/>
      <c r="L491" s="1"/>
    </row>
    <row r="492" spans="11:12">
      <c r="K492" s="118"/>
      <c r="L492" s="1"/>
    </row>
    <row r="493" spans="11:12">
      <c r="K493" s="118"/>
      <c r="L493" s="1"/>
    </row>
    <row r="494" spans="11:12">
      <c r="K494" s="118"/>
      <c r="L494" s="1"/>
    </row>
    <row r="495" spans="11:12">
      <c r="K495" s="118"/>
      <c r="L495" s="1"/>
    </row>
    <row r="496" spans="11:12">
      <c r="K496" s="118"/>
      <c r="L496" s="1"/>
    </row>
    <row r="497" spans="11:12">
      <c r="K497" s="118"/>
      <c r="L497" s="1"/>
    </row>
    <row r="498" spans="11:12">
      <c r="K498" s="118"/>
      <c r="L498" s="1"/>
    </row>
    <row r="499" spans="11:12">
      <c r="K499" s="118"/>
      <c r="L499" s="1"/>
    </row>
    <row r="500" spans="11:12">
      <c r="K500" s="118"/>
      <c r="L500" s="1"/>
    </row>
    <row r="501" spans="11:12">
      <c r="K501" s="118"/>
      <c r="L501" s="1"/>
    </row>
    <row r="502" spans="11:12">
      <c r="K502" s="118"/>
      <c r="L502" s="1"/>
    </row>
    <row r="503" spans="11:12">
      <c r="K503" s="118"/>
      <c r="L503" s="1"/>
    </row>
    <row r="504" spans="11:12">
      <c r="K504" s="118"/>
      <c r="L504" s="1"/>
    </row>
    <row r="505" spans="11:12">
      <c r="K505" s="118"/>
      <c r="L505" s="1"/>
    </row>
    <row r="506" spans="11:12">
      <c r="K506" s="118"/>
      <c r="L506" s="1"/>
    </row>
    <row r="507" spans="11:12">
      <c r="K507" s="118"/>
      <c r="L507" s="1"/>
    </row>
    <row r="508" spans="11:12">
      <c r="K508" s="118"/>
      <c r="L508" s="1"/>
    </row>
    <row r="509" spans="11:12">
      <c r="K509" s="118"/>
      <c r="L509" s="1"/>
    </row>
    <row r="510" spans="11:12">
      <c r="K510" s="118"/>
      <c r="L510" s="1"/>
    </row>
    <row r="511" spans="11:12">
      <c r="K511" s="118"/>
      <c r="L511" s="1"/>
    </row>
    <row r="512" spans="11:12">
      <c r="K512" s="118"/>
      <c r="L512" s="1"/>
    </row>
    <row r="513" spans="11:12">
      <c r="K513" s="118"/>
      <c r="L513" s="1"/>
    </row>
    <row r="514" spans="11:12">
      <c r="K514" s="118"/>
      <c r="L514" s="1"/>
    </row>
    <row r="515" spans="11:12">
      <c r="K515" s="118"/>
      <c r="L515" s="1"/>
    </row>
    <row r="516" spans="11:12">
      <c r="K516" s="118"/>
      <c r="L516" s="1"/>
    </row>
    <row r="517" spans="11:12">
      <c r="K517" s="118"/>
      <c r="L517" s="1"/>
    </row>
    <row r="518" spans="11:12">
      <c r="K518" s="118"/>
      <c r="L518" s="1"/>
    </row>
    <row r="519" spans="11:12">
      <c r="K519" s="118"/>
      <c r="L519" s="1"/>
    </row>
    <row r="520" spans="11:12">
      <c r="K520" s="118"/>
      <c r="L520" s="1"/>
    </row>
    <row r="521" spans="11:12">
      <c r="K521" s="118"/>
      <c r="L521" s="1"/>
    </row>
    <row r="522" spans="11:12">
      <c r="K522" s="118"/>
      <c r="L522" s="1"/>
    </row>
    <row r="523" spans="11:12">
      <c r="K523" s="118"/>
      <c r="L523" s="1"/>
    </row>
    <row r="524" spans="11:12">
      <c r="K524" s="118"/>
      <c r="L524" s="1"/>
    </row>
    <row r="525" spans="11:12">
      <c r="K525" s="118"/>
      <c r="L525" s="1"/>
    </row>
    <row r="526" spans="11:12">
      <c r="K526" s="118"/>
      <c r="L526" s="1"/>
    </row>
    <row r="527" spans="11:12">
      <c r="K527" s="118"/>
      <c r="L527" s="1"/>
    </row>
    <row r="528" spans="11:12">
      <c r="K528" s="118"/>
      <c r="L528" s="1"/>
    </row>
    <row r="529" spans="11:12">
      <c r="K529" s="118"/>
      <c r="L529" s="1"/>
    </row>
    <row r="530" spans="11:12">
      <c r="K530" s="118"/>
      <c r="L530" s="1"/>
    </row>
    <row r="531" spans="11:12">
      <c r="K531" s="118"/>
      <c r="L531" s="1"/>
    </row>
    <row r="532" spans="11:12">
      <c r="K532" s="118"/>
      <c r="L532" s="1"/>
    </row>
    <row r="533" spans="11:12">
      <c r="K533" s="118"/>
      <c r="L533" s="1"/>
    </row>
    <row r="534" spans="11:12">
      <c r="K534" s="118"/>
      <c r="L534" s="1"/>
    </row>
    <row r="535" spans="11:12">
      <c r="K535" s="118"/>
      <c r="L535" s="1"/>
    </row>
    <row r="536" spans="11:12">
      <c r="K536" s="118"/>
      <c r="L536" s="1"/>
    </row>
    <row r="537" spans="11:12">
      <c r="K537" s="118"/>
      <c r="L537" s="1"/>
    </row>
    <row r="538" spans="11:12">
      <c r="K538" s="118"/>
      <c r="L538" s="1"/>
    </row>
    <row r="539" spans="11:12">
      <c r="K539" s="118"/>
      <c r="L539" s="1"/>
    </row>
    <row r="540" spans="11:12">
      <c r="K540" s="118"/>
      <c r="L540" s="1"/>
    </row>
    <row r="541" spans="11:12">
      <c r="K541" s="118"/>
      <c r="L541" s="1"/>
    </row>
    <row r="542" spans="11:12">
      <c r="K542" s="118"/>
      <c r="L542" s="1"/>
    </row>
    <row r="543" spans="11:12">
      <c r="K543" s="118"/>
      <c r="L543" s="1"/>
    </row>
    <row r="544" spans="11:12">
      <c r="K544" s="118"/>
      <c r="L544" s="1"/>
    </row>
    <row r="545" spans="11:12">
      <c r="K545" s="118"/>
      <c r="L545" s="1"/>
    </row>
    <row r="546" spans="11:12">
      <c r="K546" s="118"/>
      <c r="L546" s="1"/>
    </row>
    <row r="547" spans="11:12">
      <c r="K547" s="118"/>
      <c r="L547" s="1"/>
    </row>
    <row r="548" spans="11:12">
      <c r="K548" s="118"/>
      <c r="L548" s="1"/>
    </row>
    <row r="549" spans="11:12">
      <c r="K549" s="118"/>
      <c r="L549" s="1"/>
    </row>
    <row r="550" spans="11:12">
      <c r="K550" s="118"/>
      <c r="L550" s="1"/>
    </row>
    <row r="551" spans="11:12">
      <c r="K551" s="118"/>
      <c r="L551" s="1"/>
    </row>
    <row r="552" spans="11:12">
      <c r="K552" s="118"/>
      <c r="L552" s="1"/>
    </row>
    <row r="553" spans="11:12">
      <c r="K553" s="118"/>
      <c r="L553" s="1"/>
    </row>
    <row r="554" spans="11:12">
      <c r="K554" s="118"/>
      <c r="L554" s="1"/>
    </row>
    <row r="555" spans="11:12">
      <c r="K555" s="118"/>
      <c r="L555" s="1"/>
    </row>
    <row r="556" spans="11:12">
      <c r="K556" s="118"/>
      <c r="L556" s="1"/>
    </row>
    <row r="557" spans="11:12">
      <c r="K557" s="118"/>
      <c r="L557" s="1"/>
    </row>
    <row r="558" spans="11:12">
      <c r="K558" s="118"/>
      <c r="L558" s="1"/>
    </row>
    <row r="559" spans="11:12">
      <c r="K559" s="118"/>
      <c r="L559" s="1"/>
    </row>
    <row r="560" spans="11:12">
      <c r="K560" s="118"/>
      <c r="L560" s="1"/>
    </row>
    <row r="561" spans="11:12">
      <c r="K561" s="118"/>
      <c r="L561" s="1"/>
    </row>
    <row r="562" spans="11:12">
      <c r="K562" s="118"/>
      <c r="L562" s="1"/>
    </row>
    <row r="563" spans="11:12">
      <c r="K563" s="118"/>
      <c r="L563" s="1"/>
    </row>
    <row r="564" spans="11:12">
      <c r="K564" s="118"/>
      <c r="L564" s="1"/>
    </row>
    <row r="565" spans="11:12">
      <c r="K565" s="118"/>
      <c r="L565" s="1"/>
    </row>
    <row r="566" spans="11:12">
      <c r="K566" s="118"/>
      <c r="L566" s="1"/>
    </row>
    <row r="567" spans="11:12">
      <c r="K567" s="118"/>
      <c r="L567" s="1"/>
    </row>
    <row r="568" spans="11:12">
      <c r="K568" s="118"/>
      <c r="L568" s="1"/>
    </row>
    <row r="569" spans="11:12">
      <c r="K569" s="118"/>
      <c r="L569" s="1"/>
    </row>
    <row r="570" spans="11:12">
      <c r="K570" s="118"/>
      <c r="L570" s="1"/>
    </row>
    <row r="571" spans="11:12">
      <c r="K571" s="118"/>
      <c r="L571" s="1"/>
    </row>
    <row r="572" spans="11:12">
      <c r="K572" s="118"/>
      <c r="L572" s="1"/>
    </row>
    <row r="573" spans="11:12">
      <c r="K573" s="118"/>
      <c r="L573" s="1"/>
    </row>
    <row r="574" spans="11:12">
      <c r="K574" s="118"/>
      <c r="L574" s="1"/>
    </row>
    <row r="575" spans="11:12">
      <c r="K575" s="118"/>
      <c r="L575" s="1"/>
    </row>
    <row r="576" spans="11:12">
      <c r="K576" s="118"/>
      <c r="L576" s="1"/>
    </row>
    <row r="577" spans="11:12">
      <c r="K577" s="118"/>
      <c r="L577" s="1"/>
    </row>
    <row r="578" spans="11:12">
      <c r="K578" s="118"/>
      <c r="L578" s="1"/>
    </row>
    <row r="579" spans="11:12">
      <c r="K579" s="118"/>
      <c r="L579" s="1"/>
    </row>
    <row r="580" spans="11:12">
      <c r="K580" s="118"/>
      <c r="L580" s="1"/>
    </row>
    <row r="581" spans="11:12">
      <c r="K581" s="118"/>
      <c r="L581" s="1"/>
    </row>
    <row r="582" spans="11:12">
      <c r="K582" s="118"/>
      <c r="L582" s="1"/>
    </row>
    <row r="583" spans="11:12">
      <c r="K583" s="118"/>
      <c r="L583" s="1"/>
    </row>
    <row r="584" spans="11:12">
      <c r="K584" s="118"/>
      <c r="L584" s="1"/>
    </row>
    <row r="585" spans="11:12">
      <c r="K585" s="118"/>
      <c r="L585" s="1"/>
    </row>
    <row r="586" spans="11:12">
      <c r="K586" s="118"/>
      <c r="L586" s="1"/>
    </row>
    <row r="587" spans="11:12">
      <c r="K587" s="118"/>
      <c r="L587" s="1"/>
    </row>
    <row r="588" spans="11:12">
      <c r="K588" s="118"/>
      <c r="L588" s="1"/>
    </row>
    <row r="589" spans="11:12">
      <c r="K589" s="118"/>
      <c r="L589" s="1"/>
    </row>
    <row r="590" spans="11:12">
      <c r="K590" s="118"/>
      <c r="L590" s="1"/>
    </row>
    <row r="591" spans="11:12">
      <c r="K591" s="118"/>
      <c r="L591" s="1"/>
    </row>
    <row r="592" spans="11:12">
      <c r="K592" s="118"/>
      <c r="L592" s="1"/>
    </row>
    <row r="593" spans="11:12">
      <c r="K593" s="118"/>
      <c r="L593" s="1"/>
    </row>
    <row r="594" spans="11:12">
      <c r="K594" s="118"/>
      <c r="L594" s="1"/>
    </row>
    <row r="595" spans="11:12">
      <c r="K595" s="118"/>
      <c r="L595" s="1"/>
    </row>
    <row r="596" spans="11:12">
      <c r="K596" s="118"/>
      <c r="L596" s="1"/>
    </row>
    <row r="597" spans="11:12">
      <c r="K597" s="118"/>
      <c r="L597" s="1"/>
    </row>
    <row r="598" spans="11:12">
      <c r="K598" s="118"/>
      <c r="L598" s="1"/>
    </row>
    <row r="599" spans="11:12">
      <c r="K599" s="118"/>
      <c r="L599" s="1"/>
    </row>
    <row r="600" spans="11:12">
      <c r="K600" s="118"/>
      <c r="L600" s="1"/>
    </row>
    <row r="601" spans="11:12">
      <c r="K601" s="118"/>
      <c r="L601" s="1"/>
    </row>
    <row r="602" spans="11:12">
      <c r="K602" s="118"/>
      <c r="L602" s="1"/>
    </row>
    <row r="603" spans="11:12">
      <c r="K603" s="118"/>
      <c r="L603" s="1"/>
    </row>
    <row r="604" spans="11:12">
      <c r="K604" s="118"/>
      <c r="L604" s="1"/>
    </row>
    <row r="605" spans="11:12">
      <c r="K605" s="118"/>
      <c r="L605" s="1"/>
    </row>
    <row r="606" spans="11:12">
      <c r="K606" s="118"/>
      <c r="L606" s="1"/>
    </row>
    <row r="607" spans="11:12">
      <c r="K607" s="118"/>
      <c r="L607" s="1"/>
    </row>
    <row r="608" spans="11:12">
      <c r="K608" s="118"/>
      <c r="L608" s="1"/>
    </row>
    <row r="609" spans="11:12">
      <c r="K609" s="118"/>
      <c r="L609" s="1"/>
    </row>
    <row r="610" spans="11:12">
      <c r="K610" s="118"/>
      <c r="L610" s="1"/>
    </row>
    <row r="611" spans="11:12">
      <c r="K611" s="118"/>
      <c r="L611" s="1"/>
    </row>
    <row r="612" spans="11:12">
      <c r="K612" s="118"/>
      <c r="L612" s="1"/>
    </row>
    <row r="613" spans="11:12">
      <c r="K613" s="118"/>
      <c r="L613" s="1"/>
    </row>
    <row r="614" spans="11:12">
      <c r="K614" s="118"/>
      <c r="L614" s="1"/>
    </row>
    <row r="615" spans="11:12">
      <c r="K615" s="118"/>
      <c r="L615" s="1"/>
    </row>
    <row r="616" spans="11:12">
      <c r="K616" s="118"/>
      <c r="L616" s="1"/>
    </row>
    <row r="617" spans="11:12">
      <c r="K617" s="118"/>
      <c r="L617" s="1"/>
    </row>
    <row r="618" spans="11:12">
      <c r="K618" s="118"/>
      <c r="L618" s="1"/>
    </row>
    <row r="619" spans="11:12">
      <c r="K619" s="118"/>
      <c r="L619" s="1"/>
    </row>
    <row r="620" spans="11:12">
      <c r="K620" s="118"/>
      <c r="L620" s="1"/>
    </row>
    <row r="621" spans="11:12">
      <c r="K621" s="118"/>
      <c r="L621" s="1"/>
    </row>
    <row r="622" spans="11:12">
      <c r="K622" s="118"/>
      <c r="L622" s="1"/>
    </row>
    <row r="623" spans="11:12">
      <c r="K623" s="118"/>
      <c r="L623" s="1"/>
    </row>
    <row r="624" spans="11:12">
      <c r="K624" s="118"/>
      <c r="L624" s="1"/>
    </row>
    <row r="625" spans="11:12">
      <c r="K625" s="118"/>
      <c r="L625" s="1"/>
    </row>
    <row r="626" spans="11:12">
      <c r="K626" s="118"/>
      <c r="L626" s="1"/>
    </row>
    <row r="627" spans="11:12">
      <c r="K627" s="118"/>
      <c r="L627" s="1"/>
    </row>
    <row r="628" spans="11:12">
      <c r="K628" s="118"/>
      <c r="L628" s="1"/>
    </row>
    <row r="629" spans="11:12">
      <c r="K629" s="118"/>
      <c r="L629" s="1"/>
    </row>
    <row r="630" spans="11:12">
      <c r="K630" s="118"/>
      <c r="L630" s="1"/>
    </row>
    <row r="631" spans="11:12">
      <c r="K631" s="118"/>
      <c r="L631" s="1"/>
    </row>
    <row r="632" spans="11:12">
      <c r="K632" s="118"/>
      <c r="L632" s="1"/>
    </row>
    <row r="633" spans="11:12">
      <c r="K633" s="118"/>
      <c r="L633" s="1"/>
    </row>
    <row r="634" spans="11:12">
      <c r="K634" s="118"/>
      <c r="L634" s="1"/>
    </row>
    <row r="635" spans="11:12">
      <c r="K635" s="118"/>
      <c r="L635" s="1"/>
    </row>
    <row r="636" spans="11:12">
      <c r="K636" s="118"/>
      <c r="L636" s="1"/>
    </row>
    <row r="637" spans="11:12">
      <c r="K637" s="118"/>
      <c r="L637" s="1"/>
    </row>
    <row r="638" spans="11:12">
      <c r="K638" s="118"/>
      <c r="L638" s="1"/>
    </row>
    <row r="639" spans="11:12">
      <c r="K639" s="118"/>
      <c r="L639" s="1"/>
    </row>
    <row r="640" spans="11:12">
      <c r="K640" s="118"/>
      <c r="L640" s="1"/>
    </row>
    <row r="641" spans="11:12">
      <c r="K641" s="118"/>
      <c r="L641" s="1"/>
    </row>
    <row r="642" spans="11:12">
      <c r="K642" s="118"/>
      <c r="L642" s="1"/>
    </row>
    <row r="643" spans="11:12">
      <c r="K643" s="118"/>
      <c r="L643" s="1"/>
    </row>
    <row r="644" spans="11:12">
      <c r="K644" s="118"/>
      <c r="L644" s="1"/>
    </row>
    <row r="645" spans="11:12">
      <c r="K645" s="118"/>
      <c r="L645" s="1"/>
    </row>
    <row r="646" spans="11:12">
      <c r="K646" s="118"/>
      <c r="L646" s="1"/>
    </row>
    <row r="647" spans="11:12">
      <c r="K647" s="118"/>
      <c r="L647" s="1"/>
    </row>
    <row r="648" spans="11:12">
      <c r="K648" s="118"/>
      <c r="L648" s="1"/>
    </row>
    <row r="649" spans="11:12">
      <c r="K649" s="118"/>
      <c r="L649" s="1"/>
    </row>
    <row r="650" spans="11:12">
      <c r="K650" s="118"/>
      <c r="L650" s="1"/>
    </row>
    <row r="651" spans="11:12">
      <c r="K651" s="118"/>
      <c r="L651" s="1"/>
    </row>
    <row r="652" spans="11:12">
      <c r="K652" s="118"/>
      <c r="L652" s="1"/>
    </row>
    <row r="653" spans="11:12">
      <c r="K653" s="118"/>
      <c r="L653" s="1"/>
    </row>
    <row r="654" spans="11:12">
      <c r="K654" s="118"/>
      <c r="L654" s="1"/>
    </row>
    <row r="655" spans="11:12">
      <c r="K655" s="118"/>
      <c r="L655" s="1"/>
    </row>
    <row r="656" spans="11:12">
      <c r="K656" s="118"/>
      <c r="L656" s="1"/>
    </row>
    <row r="657" spans="11:12">
      <c r="K657" s="118"/>
      <c r="L657" s="1"/>
    </row>
    <row r="658" spans="11:12">
      <c r="K658" s="118"/>
      <c r="L658" s="1"/>
    </row>
    <row r="659" spans="11:12">
      <c r="K659" s="118"/>
      <c r="L659" s="1"/>
    </row>
    <row r="660" spans="11:12">
      <c r="K660" s="118"/>
      <c r="L660" s="1"/>
    </row>
    <row r="661" spans="11:12">
      <c r="K661" s="118"/>
      <c r="L661" s="1"/>
    </row>
    <row r="662" spans="11:12">
      <c r="K662" s="118"/>
      <c r="L662" s="1"/>
    </row>
    <row r="663" spans="11:12">
      <c r="K663" s="118"/>
      <c r="L663" s="1"/>
    </row>
    <row r="664" spans="11:12">
      <c r="K664" s="118"/>
      <c r="L664" s="1"/>
    </row>
    <row r="665" spans="11:12">
      <c r="K665" s="118"/>
      <c r="L665" s="1"/>
    </row>
    <row r="666" spans="11:12">
      <c r="K666" s="118"/>
      <c r="L666" s="1"/>
    </row>
    <row r="667" spans="11:12">
      <c r="K667" s="118"/>
      <c r="L667" s="1"/>
    </row>
    <row r="668" spans="11:12">
      <c r="K668" s="118"/>
      <c r="L668" s="1"/>
    </row>
    <row r="669" spans="11:12">
      <c r="K669" s="118"/>
      <c r="L669" s="1"/>
    </row>
    <row r="670" spans="11:12">
      <c r="K670" s="118"/>
      <c r="L670" s="1"/>
    </row>
    <row r="671" spans="11:12">
      <c r="K671" s="118"/>
      <c r="L671" s="1"/>
    </row>
    <row r="672" spans="11:12">
      <c r="K672" s="118"/>
      <c r="L672" s="1"/>
    </row>
    <row r="673" spans="11:12">
      <c r="K673" s="118"/>
      <c r="L673" s="1"/>
    </row>
    <row r="674" spans="11:12">
      <c r="K674" s="118"/>
      <c r="L674" s="1"/>
    </row>
    <row r="675" spans="11:12">
      <c r="K675" s="118"/>
      <c r="L675" s="1"/>
    </row>
    <row r="676" spans="11:12">
      <c r="K676" s="118"/>
      <c r="L676" s="1"/>
    </row>
    <row r="677" spans="11:12">
      <c r="K677" s="118"/>
      <c r="L677" s="1"/>
    </row>
    <row r="678" spans="11:12">
      <c r="K678" s="118"/>
      <c r="L678" s="1"/>
    </row>
    <row r="679" spans="11:12">
      <c r="K679" s="118"/>
      <c r="L679" s="1"/>
    </row>
    <row r="680" spans="11:12">
      <c r="K680" s="118"/>
      <c r="L680" s="1"/>
    </row>
    <row r="681" spans="11:12">
      <c r="K681" s="118"/>
      <c r="L681" s="1"/>
    </row>
    <row r="682" spans="11:12">
      <c r="K682" s="118"/>
      <c r="L682" s="1"/>
    </row>
    <row r="683" spans="11:12">
      <c r="K683" s="118"/>
      <c r="L683" s="1"/>
    </row>
    <row r="684" spans="11:12">
      <c r="K684" s="118"/>
      <c r="L684" s="1"/>
    </row>
    <row r="685" spans="11:12">
      <c r="K685" s="118"/>
      <c r="L685" s="1"/>
    </row>
    <row r="686" spans="11:12">
      <c r="K686" s="118"/>
      <c r="L686" s="1"/>
    </row>
    <row r="687" spans="11:12">
      <c r="K687" s="118"/>
      <c r="L687" s="1"/>
    </row>
    <row r="688" spans="11:12">
      <c r="K688" s="118"/>
      <c r="L688" s="1"/>
    </row>
    <row r="689" spans="11:12">
      <c r="K689" s="118"/>
      <c r="L689" s="1"/>
    </row>
    <row r="690" spans="11:12">
      <c r="K690" s="118"/>
      <c r="L690" s="1"/>
    </row>
    <row r="691" spans="11:12">
      <c r="K691" s="118"/>
      <c r="L691" s="1"/>
    </row>
    <row r="692" spans="11:12">
      <c r="K692" s="118"/>
      <c r="L692" s="1"/>
    </row>
    <row r="693" spans="11:12">
      <c r="K693" s="118"/>
      <c r="L693" s="1"/>
    </row>
    <row r="694" spans="11:12">
      <c r="K694" s="118"/>
      <c r="L694" s="1"/>
    </row>
    <row r="695" spans="11:12">
      <c r="K695" s="118"/>
      <c r="L695" s="1"/>
    </row>
    <row r="696" spans="11:12">
      <c r="K696" s="118"/>
      <c r="L696" s="1"/>
    </row>
    <row r="697" spans="11:12">
      <c r="K697" s="118"/>
      <c r="L697" s="1"/>
    </row>
    <row r="698" spans="11:12">
      <c r="K698" s="118"/>
      <c r="L698" s="1"/>
    </row>
    <row r="699" spans="11:12">
      <c r="K699" s="118"/>
      <c r="L699" s="1"/>
    </row>
    <row r="700" spans="11:12">
      <c r="K700" s="118"/>
      <c r="L700" s="1"/>
    </row>
    <row r="701" spans="11:12">
      <c r="K701" s="118"/>
      <c r="L701" s="1"/>
    </row>
    <row r="702" spans="11:12">
      <c r="K702" s="118"/>
      <c r="L702" s="1"/>
    </row>
    <row r="703" spans="11:12">
      <c r="K703" s="118"/>
      <c r="L703" s="1"/>
    </row>
    <row r="704" spans="11:12">
      <c r="K704" s="118"/>
      <c r="L704" s="1"/>
    </row>
    <row r="705" spans="11:12">
      <c r="K705" s="118"/>
      <c r="L705" s="1"/>
    </row>
    <row r="706" spans="11:12">
      <c r="K706" s="118"/>
      <c r="L706" s="1"/>
    </row>
    <row r="707" spans="11:12">
      <c r="K707" s="118"/>
      <c r="L707" s="1"/>
    </row>
    <row r="708" spans="11:12">
      <c r="K708" s="118"/>
      <c r="L708" s="1"/>
    </row>
    <row r="709" spans="11:12">
      <c r="K709" s="118"/>
      <c r="L709" s="1"/>
    </row>
    <row r="710" spans="11:12">
      <c r="K710" s="118"/>
      <c r="L710" s="1"/>
    </row>
    <row r="711" spans="11:12">
      <c r="K711" s="118"/>
      <c r="L711" s="1"/>
    </row>
    <row r="712" spans="11:12">
      <c r="K712" s="118"/>
      <c r="L712" s="1"/>
    </row>
    <row r="713" spans="11:12">
      <c r="K713" s="118"/>
      <c r="L713" s="1"/>
    </row>
    <row r="714" spans="11:12">
      <c r="K714" s="118"/>
      <c r="L714" s="1"/>
    </row>
    <row r="715" spans="11:12">
      <c r="K715" s="118"/>
      <c r="L715" s="1"/>
    </row>
    <row r="716" spans="11:12">
      <c r="K716" s="118"/>
      <c r="L716" s="1"/>
    </row>
    <row r="717" spans="11:12">
      <c r="K717" s="118"/>
      <c r="L717" s="1"/>
    </row>
    <row r="718" spans="11:12">
      <c r="K718" s="118"/>
      <c r="L718" s="1"/>
    </row>
    <row r="719" spans="11:12">
      <c r="K719" s="118"/>
      <c r="L719" s="1"/>
    </row>
    <row r="720" spans="11:12">
      <c r="K720" s="118"/>
      <c r="L720" s="1"/>
    </row>
    <row r="721" spans="11:12">
      <c r="K721" s="118"/>
      <c r="L721" s="1"/>
    </row>
    <row r="722" spans="11:12">
      <c r="K722" s="118"/>
      <c r="L722" s="1"/>
    </row>
    <row r="723" spans="11:12">
      <c r="K723" s="118"/>
      <c r="L723" s="1"/>
    </row>
    <row r="724" spans="11:12">
      <c r="K724" s="118"/>
      <c r="L724" s="1"/>
    </row>
    <row r="725" spans="11:12">
      <c r="K725" s="118"/>
      <c r="L725" s="1"/>
    </row>
    <row r="726" spans="11:12">
      <c r="K726" s="118"/>
      <c r="L726" s="1"/>
    </row>
    <row r="727" spans="11:12">
      <c r="K727" s="118"/>
      <c r="L727" s="1"/>
    </row>
    <row r="728" spans="11:12">
      <c r="K728" s="118"/>
      <c r="L728" s="1"/>
    </row>
    <row r="729" spans="11:12">
      <c r="K729" s="118"/>
      <c r="L729" s="1"/>
    </row>
    <row r="730" spans="11:12">
      <c r="K730" s="118"/>
      <c r="L730" s="1"/>
    </row>
    <row r="731" spans="11:12">
      <c r="K731" s="118"/>
      <c r="L731" s="1"/>
    </row>
    <row r="732" spans="11:12">
      <c r="K732" s="118"/>
      <c r="L732" s="1"/>
    </row>
    <row r="733" spans="11:12">
      <c r="K733" s="118"/>
      <c r="L733" s="1"/>
    </row>
    <row r="734" spans="11:12">
      <c r="K734" s="118"/>
      <c r="L734" s="1"/>
    </row>
    <row r="735" spans="11:12">
      <c r="K735" s="118"/>
      <c r="L735" s="1"/>
    </row>
    <row r="736" spans="11:12">
      <c r="K736" s="118"/>
      <c r="L736" s="1"/>
    </row>
    <row r="737" spans="11:12">
      <c r="K737" s="118"/>
      <c r="L737" s="1"/>
    </row>
    <row r="738" spans="11:12">
      <c r="K738" s="118"/>
      <c r="L738" s="1"/>
    </row>
    <row r="739" spans="11:12">
      <c r="K739" s="118"/>
      <c r="L739" s="1"/>
    </row>
    <row r="740" spans="11:12">
      <c r="K740" s="118"/>
      <c r="L740" s="1"/>
    </row>
    <row r="741" spans="11:12">
      <c r="K741" s="118"/>
      <c r="L741" s="1"/>
    </row>
    <row r="742" spans="11:12">
      <c r="K742" s="118"/>
      <c r="L742" s="1"/>
    </row>
    <row r="743" spans="11:12">
      <c r="K743" s="118"/>
      <c r="L743" s="1"/>
    </row>
    <row r="744" spans="11:12">
      <c r="K744" s="118"/>
      <c r="L744" s="1"/>
    </row>
    <row r="745" spans="11:12">
      <c r="K745" s="118"/>
      <c r="L745" s="1"/>
    </row>
    <row r="746" spans="11:12">
      <c r="K746" s="118"/>
      <c r="L746" s="1"/>
    </row>
    <row r="747" spans="11:12">
      <c r="K747" s="118"/>
      <c r="L747" s="1"/>
    </row>
    <row r="748" spans="11:12">
      <c r="K748" s="118"/>
      <c r="L748" s="1"/>
    </row>
    <row r="749" spans="11:12">
      <c r="K749" s="118"/>
      <c r="L749" s="1"/>
    </row>
    <row r="750" spans="11:12">
      <c r="K750" s="118"/>
      <c r="L750" s="1"/>
    </row>
    <row r="751" spans="11:12">
      <c r="K751" s="118"/>
      <c r="L751" s="1"/>
    </row>
    <row r="752" spans="11:12">
      <c r="K752" s="118"/>
      <c r="L752" s="1"/>
    </row>
    <row r="753" spans="11:12">
      <c r="K753" s="118"/>
      <c r="L753" s="1"/>
    </row>
    <row r="754" spans="11:12">
      <c r="K754" s="118"/>
      <c r="L754" s="1"/>
    </row>
    <row r="755" spans="11:12">
      <c r="K755" s="118"/>
      <c r="L755" s="1"/>
    </row>
    <row r="756" spans="11:12">
      <c r="K756" s="118"/>
      <c r="L756" s="1"/>
    </row>
    <row r="757" spans="11:12">
      <c r="K757" s="118"/>
      <c r="L757" s="1"/>
    </row>
    <row r="758" spans="11:12">
      <c r="K758" s="118"/>
      <c r="L758" s="1"/>
    </row>
    <row r="759" spans="11:12">
      <c r="K759" s="118"/>
      <c r="L759" s="1"/>
    </row>
    <row r="760" spans="11:12">
      <c r="K760" s="118"/>
      <c r="L760" s="1"/>
    </row>
    <row r="761" spans="11:12">
      <c r="K761" s="118"/>
      <c r="L761" s="1"/>
    </row>
    <row r="762" spans="11:12">
      <c r="K762" s="118"/>
      <c r="L762" s="1"/>
    </row>
    <row r="763" spans="11:12">
      <c r="K763" s="118"/>
      <c r="L763" s="1"/>
    </row>
    <row r="764" spans="11:12">
      <c r="K764" s="118"/>
      <c r="L764" s="1"/>
    </row>
    <row r="765" spans="11:12">
      <c r="K765" s="118"/>
      <c r="L765" s="1"/>
    </row>
    <row r="766" spans="11:12">
      <c r="K766" s="118"/>
      <c r="L766" s="1"/>
    </row>
    <row r="767" spans="11:12">
      <c r="K767" s="118"/>
      <c r="L767" s="1"/>
    </row>
    <row r="768" spans="11:12">
      <c r="K768" s="118"/>
      <c r="L768" s="1"/>
    </row>
    <row r="769" spans="11:12">
      <c r="K769" s="118"/>
      <c r="L769" s="1"/>
    </row>
    <row r="770" spans="11:12">
      <c r="K770" s="118"/>
      <c r="L770" s="1"/>
    </row>
    <row r="771" spans="11:12">
      <c r="K771" s="118"/>
      <c r="L771" s="1"/>
    </row>
    <row r="772" spans="11:12">
      <c r="K772" s="118"/>
      <c r="L772" s="1"/>
    </row>
    <row r="773" spans="11:12">
      <c r="K773" s="118"/>
      <c r="L773" s="1"/>
    </row>
    <row r="774" spans="11:12">
      <c r="K774" s="118"/>
      <c r="L774" s="1"/>
    </row>
    <row r="775" spans="11:12">
      <c r="K775" s="118"/>
      <c r="L775" s="1"/>
    </row>
    <row r="776" spans="11:12">
      <c r="K776" s="118"/>
      <c r="L776" s="1"/>
    </row>
    <row r="777" spans="11:12">
      <c r="K777" s="118"/>
      <c r="L777" s="1"/>
    </row>
    <row r="778" spans="11:12">
      <c r="K778" s="118"/>
      <c r="L778" s="1"/>
    </row>
    <row r="779" spans="11:12">
      <c r="K779" s="118"/>
      <c r="L779" s="1"/>
    </row>
    <row r="780" spans="11:12">
      <c r="K780" s="118"/>
      <c r="L780" s="1"/>
    </row>
    <row r="781" spans="11:12">
      <c r="K781" s="118"/>
      <c r="L781" s="1"/>
    </row>
    <row r="782" spans="11:12">
      <c r="K782" s="118"/>
      <c r="L782" s="1"/>
    </row>
    <row r="783" spans="11:12">
      <c r="K783" s="118"/>
      <c r="L783" s="1"/>
    </row>
    <row r="784" spans="11:12">
      <c r="K784" s="118"/>
      <c r="L784" s="1"/>
    </row>
    <row r="785" spans="11:12">
      <c r="K785" s="118"/>
      <c r="L785" s="1"/>
    </row>
    <row r="786" spans="11:12">
      <c r="K786" s="118"/>
      <c r="L786" s="1"/>
    </row>
    <row r="787" spans="11:12">
      <c r="K787" s="118"/>
      <c r="L787" s="1"/>
    </row>
    <row r="788" spans="11:12">
      <c r="K788" s="118"/>
      <c r="L788" s="1"/>
    </row>
    <row r="789" spans="11:12">
      <c r="K789" s="118"/>
      <c r="L789" s="1"/>
    </row>
    <row r="790" spans="11:12">
      <c r="K790" s="118"/>
      <c r="L790" s="1"/>
    </row>
    <row r="791" spans="11:12">
      <c r="K791" s="118"/>
      <c r="L791" s="1"/>
    </row>
    <row r="792" spans="11:12">
      <c r="K792" s="118"/>
      <c r="L792" s="1"/>
    </row>
    <row r="793" spans="11:12">
      <c r="K793" s="118"/>
      <c r="L793" s="1"/>
    </row>
    <row r="794" spans="11:12">
      <c r="K794" s="118"/>
      <c r="L794" s="1"/>
    </row>
    <row r="795" spans="11:12">
      <c r="K795" s="118"/>
      <c r="L795" s="1"/>
    </row>
    <row r="796" spans="11:12">
      <c r="K796" s="118"/>
      <c r="L796" s="1"/>
    </row>
    <row r="797" spans="11:12">
      <c r="K797" s="118"/>
      <c r="L797" s="1"/>
    </row>
    <row r="798" spans="11:12">
      <c r="K798" s="118"/>
      <c r="L798" s="1"/>
    </row>
    <row r="799" spans="11:12">
      <c r="K799" s="118"/>
      <c r="L799" s="1"/>
    </row>
    <row r="800" spans="11:12">
      <c r="K800" s="118"/>
      <c r="L800" s="1"/>
    </row>
    <row r="801" spans="11:12">
      <c r="K801" s="118"/>
      <c r="L801" s="1"/>
    </row>
    <row r="802" spans="11:12">
      <c r="K802" s="118"/>
      <c r="L802" s="1"/>
    </row>
    <row r="803" spans="11:12">
      <c r="K803" s="118"/>
      <c r="L803" s="1"/>
    </row>
    <row r="804" spans="11:12">
      <c r="K804" s="118"/>
      <c r="L804" s="1"/>
    </row>
    <row r="805" spans="11:12">
      <c r="K805" s="118"/>
      <c r="L805" s="1"/>
    </row>
    <row r="806" spans="11:12">
      <c r="K806" s="118"/>
      <c r="L806" s="1"/>
    </row>
    <row r="807" spans="11:12">
      <c r="K807" s="118"/>
      <c r="L807" s="1"/>
    </row>
    <row r="808" spans="11:12">
      <c r="K808" s="118"/>
      <c r="L808" s="1"/>
    </row>
    <row r="809" spans="11:12">
      <c r="K809" s="118"/>
      <c r="L809" s="1"/>
    </row>
    <row r="810" spans="11:12">
      <c r="K810" s="118"/>
      <c r="L810" s="1"/>
    </row>
    <row r="811" spans="11:12">
      <c r="K811" s="118"/>
      <c r="L811" s="1"/>
    </row>
    <row r="812" spans="11:12">
      <c r="K812" s="118"/>
      <c r="L812" s="1"/>
    </row>
    <row r="813" spans="11:12">
      <c r="K813" s="118"/>
      <c r="L813" s="1"/>
    </row>
    <row r="814" spans="11:12">
      <c r="K814" s="118"/>
      <c r="L814" s="1"/>
    </row>
    <row r="815" spans="11:12">
      <c r="K815" s="118"/>
      <c r="L815" s="1"/>
    </row>
    <row r="816" spans="11:12">
      <c r="K816" s="118"/>
      <c r="L816" s="1"/>
    </row>
    <row r="817" spans="11:12">
      <c r="K817" s="118"/>
      <c r="L817" s="1"/>
    </row>
    <row r="818" spans="11:12">
      <c r="K818" s="118"/>
      <c r="L818" s="1"/>
    </row>
    <row r="819" spans="11:12">
      <c r="K819" s="118"/>
      <c r="L819" s="1"/>
    </row>
    <row r="820" spans="11:12">
      <c r="K820" s="118"/>
      <c r="L820" s="1"/>
    </row>
    <row r="821" spans="11:12">
      <c r="K821" s="118"/>
      <c r="L821" s="1"/>
    </row>
    <row r="822" spans="11:12">
      <c r="K822" s="118"/>
      <c r="L822" s="1"/>
    </row>
    <row r="823" spans="11:12">
      <c r="K823" s="118"/>
      <c r="L823" s="1"/>
    </row>
    <row r="824" spans="11:12">
      <c r="K824" s="118"/>
      <c r="L824" s="1"/>
    </row>
    <row r="825" spans="11:12">
      <c r="K825" s="118"/>
      <c r="L825" s="1"/>
    </row>
    <row r="826" spans="11:12">
      <c r="K826" s="118"/>
      <c r="L826" s="1"/>
    </row>
    <row r="827" spans="11:12">
      <c r="K827" s="118"/>
      <c r="L827" s="1"/>
    </row>
    <row r="828" spans="11:12">
      <c r="K828" s="118"/>
      <c r="L828" s="1"/>
    </row>
    <row r="829" spans="11:12">
      <c r="K829" s="118"/>
      <c r="L829" s="1"/>
    </row>
    <row r="830" spans="11:12">
      <c r="K830" s="118"/>
      <c r="L830" s="1"/>
    </row>
    <row r="831" spans="11:12">
      <c r="K831" s="118"/>
      <c r="L831" s="1"/>
    </row>
    <row r="832" spans="11:12">
      <c r="K832" s="118"/>
      <c r="L832" s="1"/>
    </row>
    <row r="833" spans="11:12">
      <c r="K833" s="118"/>
      <c r="L833" s="1"/>
    </row>
    <row r="834" spans="11:12">
      <c r="K834" s="118"/>
      <c r="L834" s="1"/>
    </row>
    <row r="835" spans="11:12">
      <c r="K835" s="118"/>
      <c r="L835" s="1"/>
    </row>
    <row r="836" spans="11:12">
      <c r="K836" s="118"/>
      <c r="L836" s="1"/>
    </row>
    <row r="837" spans="11:12">
      <c r="K837" s="118"/>
      <c r="L837" s="1"/>
    </row>
    <row r="838" spans="11:12">
      <c r="K838" s="118"/>
      <c r="L838" s="1"/>
    </row>
    <row r="839" spans="11:12">
      <c r="K839" s="118"/>
      <c r="L839" s="1"/>
    </row>
    <row r="840" spans="11:12">
      <c r="K840" s="118"/>
      <c r="L840" s="1"/>
    </row>
    <row r="841" spans="11:12">
      <c r="K841" s="118"/>
      <c r="L841" s="1"/>
    </row>
    <row r="842" spans="11:12">
      <c r="K842" s="118"/>
      <c r="L842" s="1"/>
    </row>
    <row r="843" spans="11:12">
      <c r="K843" s="118"/>
      <c r="L843" s="1"/>
    </row>
    <row r="844" spans="11:12">
      <c r="K844" s="118"/>
      <c r="L844" s="1"/>
    </row>
    <row r="845" spans="11:12">
      <c r="K845" s="118"/>
      <c r="L845" s="1"/>
    </row>
    <row r="846" spans="11:12">
      <c r="K846" s="118"/>
      <c r="L846" s="1"/>
    </row>
    <row r="847" spans="11:12">
      <c r="K847" s="118"/>
      <c r="L847" s="1"/>
    </row>
    <row r="848" spans="11:12">
      <c r="K848" s="118"/>
      <c r="L848" s="1"/>
    </row>
    <row r="849" spans="11:12">
      <c r="K849" s="118"/>
      <c r="L849" s="1"/>
    </row>
    <row r="850" spans="11:12">
      <c r="K850" s="118"/>
      <c r="L850" s="1"/>
    </row>
    <row r="851" spans="11:12">
      <c r="K851" s="118"/>
      <c r="L851" s="1"/>
    </row>
    <row r="852" spans="11:12">
      <c r="K852" s="118"/>
      <c r="L852" s="1"/>
    </row>
    <row r="853" spans="11:12">
      <c r="K853" s="118"/>
      <c r="L853" s="1"/>
    </row>
    <row r="854" spans="11:12">
      <c r="K854" s="118"/>
      <c r="L854" s="1"/>
    </row>
    <row r="855" spans="11:12">
      <c r="K855" s="118"/>
      <c r="L855" s="1"/>
    </row>
    <row r="856" spans="11:12">
      <c r="K856" s="118"/>
      <c r="L856" s="1"/>
    </row>
    <row r="857" spans="11:12">
      <c r="K857" s="118"/>
      <c r="L857" s="1"/>
    </row>
    <row r="858" spans="11:12">
      <c r="K858" s="118"/>
      <c r="L858" s="1"/>
    </row>
    <row r="859" spans="11:12">
      <c r="K859" s="118"/>
      <c r="L859" s="1"/>
    </row>
    <row r="860" spans="11:12">
      <c r="K860" s="118"/>
      <c r="L860" s="1"/>
    </row>
    <row r="861" spans="11:12">
      <c r="K861" s="118"/>
      <c r="L861" s="1"/>
    </row>
    <row r="862" spans="11:12">
      <c r="K862" s="118"/>
      <c r="L862" s="1"/>
    </row>
    <row r="863" spans="11:12">
      <c r="K863" s="118"/>
      <c r="L863" s="1"/>
    </row>
    <row r="864" spans="11:12">
      <c r="K864" s="118"/>
      <c r="L864" s="1"/>
    </row>
    <row r="865" spans="11:12">
      <c r="K865" s="118"/>
      <c r="L865" s="1"/>
    </row>
    <row r="866" spans="11:12">
      <c r="K866" s="118"/>
      <c r="L866" s="1"/>
    </row>
    <row r="867" spans="11:12">
      <c r="K867" s="118"/>
      <c r="L867" s="1"/>
    </row>
    <row r="868" spans="11:12">
      <c r="K868" s="118"/>
      <c r="L868" s="1"/>
    </row>
    <row r="869" spans="11:12">
      <c r="K869" s="118"/>
      <c r="L869" s="1"/>
    </row>
    <row r="870" spans="11:12">
      <c r="K870" s="118"/>
      <c r="L870" s="1"/>
    </row>
    <row r="871" spans="11:12">
      <c r="K871" s="118"/>
      <c r="L871" s="1"/>
    </row>
    <row r="872" spans="11:12">
      <c r="K872" s="118"/>
      <c r="L872" s="1"/>
    </row>
    <row r="873" spans="11:12">
      <c r="K873" s="118"/>
      <c r="L873" s="1"/>
    </row>
    <row r="874" spans="11:12">
      <c r="K874" s="118"/>
      <c r="L874" s="1"/>
    </row>
    <row r="875" spans="11:12">
      <c r="K875" s="118"/>
      <c r="L875" s="1"/>
    </row>
    <row r="876" spans="11:12">
      <c r="K876" s="118"/>
      <c r="L876" s="1"/>
    </row>
    <row r="877" spans="11:12">
      <c r="K877" s="118"/>
      <c r="L877" s="1"/>
    </row>
    <row r="878" spans="11:12">
      <c r="K878" s="118"/>
      <c r="L878" s="1"/>
    </row>
    <row r="879" spans="11:12">
      <c r="K879" s="118"/>
      <c r="L879" s="1"/>
    </row>
    <row r="880" spans="11:12">
      <c r="K880" s="118"/>
      <c r="L880" s="1"/>
    </row>
    <row r="881" spans="11:12">
      <c r="K881" s="118"/>
      <c r="L881" s="1"/>
    </row>
    <row r="882" spans="11:12">
      <c r="K882" s="118"/>
      <c r="L882" s="1"/>
    </row>
    <row r="883" spans="11:12">
      <c r="K883" s="118"/>
      <c r="L883" s="1"/>
    </row>
    <row r="884" spans="11:12">
      <c r="K884" s="118"/>
      <c r="L884" s="1"/>
    </row>
    <row r="885" spans="11:12">
      <c r="K885" s="118"/>
      <c r="L885" s="1"/>
    </row>
    <row r="886" spans="11:12">
      <c r="K886" s="118"/>
      <c r="L886" s="1"/>
    </row>
    <row r="887" spans="11:12">
      <c r="K887" s="118"/>
      <c r="L887" s="1"/>
    </row>
    <row r="888" spans="11:12">
      <c r="K888" s="118"/>
      <c r="L888" s="1"/>
    </row>
    <row r="889" spans="11:12">
      <c r="K889" s="118"/>
      <c r="L889" s="1"/>
    </row>
    <row r="890" spans="11:12">
      <c r="K890" s="118"/>
      <c r="L890" s="1"/>
    </row>
    <row r="891" spans="11:12">
      <c r="K891" s="118"/>
      <c r="L891" s="1"/>
    </row>
    <row r="892" spans="11:12">
      <c r="K892" s="118"/>
      <c r="L892" s="1"/>
    </row>
    <row r="893" spans="11:12">
      <c r="K893" s="118"/>
      <c r="L893" s="1"/>
    </row>
    <row r="894" spans="11:12">
      <c r="K894" s="118"/>
      <c r="L894" s="1"/>
    </row>
    <row r="895" spans="11:12">
      <c r="K895" s="118"/>
      <c r="L895" s="1"/>
    </row>
    <row r="896" spans="11:12">
      <c r="K896" s="118"/>
      <c r="L896" s="1"/>
    </row>
    <row r="897" spans="11:12">
      <c r="K897" s="118"/>
      <c r="L897" s="1"/>
    </row>
    <row r="898" spans="11:12">
      <c r="K898" s="118"/>
      <c r="L898" s="1"/>
    </row>
    <row r="899" spans="11:12">
      <c r="K899" s="118"/>
      <c r="L899" s="1"/>
    </row>
    <row r="900" spans="11:12">
      <c r="K900" s="118"/>
      <c r="L900" s="1"/>
    </row>
    <row r="901" spans="11:12">
      <c r="K901" s="118"/>
      <c r="L901" s="1"/>
    </row>
    <row r="902" spans="11:12">
      <c r="K902" s="118"/>
      <c r="L902" s="1"/>
    </row>
    <row r="903" spans="11:12">
      <c r="K903" s="118"/>
      <c r="L903" s="1"/>
    </row>
    <row r="904" spans="11:12">
      <c r="K904" s="118"/>
      <c r="L904" s="1"/>
    </row>
    <row r="905" spans="11:12">
      <c r="K905" s="118"/>
      <c r="L905" s="1"/>
    </row>
    <row r="906" spans="11:12">
      <c r="K906" s="118"/>
      <c r="L906" s="1"/>
    </row>
    <row r="907" spans="11:12">
      <c r="K907" s="118"/>
      <c r="L907" s="1"/>
    </row>
    <row r="908" spans="11:12">
      <c r="K908" s="118"/>
      <c r="L908" s="1"/>
    </row>
    <row r="909" spans="11:12">
      <c r="K909" s="118"/>
      <c r="L909" s="1"/>
    </row>
    <row r="910" spans="11:12">
      <c r="K910" s="118"/>
      <c r="L910" s="1"/>
    </row>
    <row r="911" spans="11:12">
      <c r="K911" s="118"/>
      <c r="L911" s="1"/>
    </row>
    <row r="912" spans="11:12">
      <c r="K912" s="118"/>
      <c r="L912" s="1"/>
    </row>
    <row r="913" spans="11:12">
      <c r="K913" s="118"/>
      <c r="L913" s="1"/>
    </row>
    <row r="914" spans="11:12">
      <c r="K914" s="118"/>
      <c r="L914" s="1"/>
    </row>
    <row r="915" spans="11:12">
      <c r="K915" s="118"/>
      <c r="L915" s="1"/>
    </row>
    <row r="916" spans="11:12">
      <c r="K916" s="118"/>
      <c r="L916" s="1"/>
    </row>
    <row r="917" spans="11:12">
      <c r="K917" s="118"/>
      <c r="L917" s="1"/>
    </row>
    <row r="918" spans="11:12">
      <c r="K918" s="118"/>
      <c r="L918" s="1"/>
    </row>
    <row r="919" spans="11:12">
      <c r="K919" s="118"/>
      <c r="L919" s="1"/>
    </row>
    <row r="920" spans="11:12">
      <c r="K920" s="118"/>
      <c r="L920" s="1"/>
    </row>
    <row r="921" spans="11:12">
      <c r="K921" s="118"/>
      <c r="L921" s="1"/>
    </row>
    <row r="922" spans="11:12">
      <c r="K922" s="118"/>
      <c r="L922" s="1"/>
    </row>
    <row r="923" spans="11:12">
      <c r="K923" s="118"/>
      <c r="L923" s="1"/>
    </row>
    <row r="924" spans="11:12">
      <c r="K924" s="118"/>
      <c r="L924" s="1"/>
    </row>
    <row r="925" spans="11:12">
      <c r="K925" s="118"/>
      <c r="L925" s="1"/>
    </row>
    <row r="926" spans="11:12">
      <c r="K926" s="118"/>
      <c r="L926" s="1"/>
    </row>
    <row r="927" spans="11:12">
      <c r="K927" s="118"/>
      <c r="L927" s="1"/>
    </row>
    <row r="928" spans="11:12">
      <c r="K928" s="118"/>
      <c r="L928" s="1"/>
    </row>
    <row r="929" spans="11:12">
      <c r="K929" s="118"/>
      <c r="L929" s="1"/>
    </row>
    <row r="930" spans="11:12">
      <c r="K930" s="118"/>
      <c r="L930" s="1"/>
    </row>
    <row r="931" spans="11:12">
      <c r="K931" s="118"/>
      <c r="L931" s="1"/>
    </row>
    <row r="932" spans="11:12">
      <c r="K932" s="118"/>
      <c r="L932" s="1"/>
    </row>
    <row r="933" spans="11:12">
      <c r="K933" s="118"/>
      <c r="L933" s="1"/>
    </row>
    <row r="934" spans="11:12">
      <c r="K934" s="118"/>
      <c r="L934" s="1"/>
    </row>
    <row r="935" spans="11:12">
      <c r="K935" s="118"/>
      <c r="L935" s="1"/>
    </row>
    <row r="936" spans="11:12">
      <c r="K936" s="118"/>
      <c r="L936" s="1"/>
    </row>
    <row r="937" spans="11:12">
      <c r="K937" s="118"/>
      <c r="L937" s="1"/>
    </row>
    <row r="938" spans="11:12">
      <c r="K938" s="118"/>
      <c r="L938" s="1"/>
    </row>
    <row r="939" spans="11:12">
      <c r="K939" s="118"/>
      <c r="L939" s="1"/>
    </row>
    <row r="940" spans="11:12">
      <c r="K940" s="118"/>
      <c r="L940" s="1"/>
    </row>
    <row r="941" spans="11:12">
      <c r="K941" s="118"/>
      <c r="L941" s="1"/>
    </row>
    <row r="942" spans="11:12">
      <c r="K942" s="118"/>
      <c r="L942" s="1"/>
    </row>
    <row r="943" spans="11:12">
      <c r="K943" s="118"/>
      <c r="L943" s="1"/>
    </row>
    <row r="944" spans="11:12">
      <c r="K944" s="118"/>
      <c r="L944" s="1"/>
    </row>
    <row r="945" spans="11:12">
      <c r="K945" s="118"/>
      <c r="L945" s="1"/>
    </row>
    <row r="946" spans="11:12">
      <c r="K946" s="118"/>
      <c r="L946" s="1"/>
    </row>
    <row r="947" spans="11:12">
      <c r="K947" s="118"/>
      <c r="L947" s="1"/>
    </row>
    <row r="948" spans="11:12">
      <c r="K948" s="118"/>
      <c r="L948" s="1"/>
    </row>
    <row r="949" spans="11:12">
      <c r="K949" s="118"/>
      <c r="L949" s="1"/>
    </row>
    <row r="950" spans="11:12">
      <c r="K950" s="118"/>
      <c r="L950" s="1"/>
    </row>
    <row r="951" spans="11:12">
      <c r="K951" s="118"/>
      <c r="L951" s="1"/>
    </row>
    <row r="952" spans="11:12">
      <c r="K952" s="118"/>
      <c r="L952" s="1"/>
    </row>
    <row r="953" spans="11:12">
      <c r="K953" s="118"/>
      <c r="L953" s="1"/>
    </row>
    <row r="954" spans="11:12">
      <c r="K954" s="118"/>
      <c r="L954" s="1"/>
    </row>
    <row r="955" spans="11:12">
      <c r="K955" s="118"/>
      <c r="L955" s="1"/>
    </row>
    <row r="956" spans="11:12">
      <c r="K956" s="118"/>
      <c r="L956" s="1"/>
    </row>
    <row r="957" spans="11:12">
      <c r="K957" s="118"/>
      <c r="L957" s="1"/>
    </row>
    <row r="958" spans="11:12">
      <c r="K958" s="118"/>
      <c r="L958" s="1"/>
    </row>
    <row r="959" spans="11:12">
      <c r="K959" s="118"/>
      <c r="L959" s="1"/>
    </row>
    <row r="960" spans="11:12">
      <c r="K960" s="118"/>
      <c r="L960" s="1"/>
    </row>
    <row r="961" spans="11:12">
      <c r="K961" s="118"/>
      <c r="L961" s="1"/>
    </row>
    <row r="962" spans="11:12">
      <c r="K962" s="118"/>
      <c r="L962" s="1"/>
    </row>
    <row r="963" spans="11:12">
      <c r="K963" s="118"/>
      <c r="L963" s="1"/>
    </row>
    <row r="964" spans="11:12">
      <c r="K964" s="118"/>
      <c r="L964" s="1"/>
    </row>
    <row r="965" spans="11:12">
      <c r="K965" s="118"/>
      <c r="L965" s="1"/>
    </row>
    <row r="966" spans="11:12">
      <c r="K966" s="118"/>
      <c r="L966" s="1"/>
    </row>
    <row r="967" spans="11:12">
      <c r="K967" s="118"/>
      <c r="L967" s="1"/>
    </row>
    <row r="968" spans="11:12">
      <c r="K968" s="118"/>
      <c r="L968" s="1"/>
    </row>
    <row r="969" spans="11:12">
      <c r="K969" s="118"/>
      <c r="L969" s="1"/>
    </row>
    <row r="970" spans="11:12">
      <c r="K970" s="118"/>
      <c r="L970" s="1"/>
    </row>
    <row r="971" spans="11:12">
      <c r="K971" s="118"/>
      <c r="L971" s="1"/>
    </row>
    <row r="972" spans="11:12">
      <c r="K972" s="118"/>
      <c r="L972" s="1"/>
    </row>
    <row r="973" spans="11:12">
      <c r="K973" s="118"/>
      <c r="L973" s="1"/>
    </row>
    <row r="974" spans="11:12">
      <c r="K974" s="118"/>
      <c r="L974" s="1"/>
    </row>
    <row r="975" spans="11:12">
      <c r="K975" s="118"/>
      <c r="L975" s="1"/>
    </row>
    <row r="976" spans="11:12">
      <c r="K976" s="118"/>
      <c r="L976" s="1"/>
    </row>
    <row r="977" spans="11:12">
      <c r="K977" s="118"/>
      <c r="L977" s="1"/>
    </row>
    <row r="978" spans="11:12">
      <c r="K978" s="118"/>
      <c r="L978" s="1"/>
    </row>
    <row r="979" spans="11:12">
      <c r="K979" s="118"/>
      <c r="L979" s="1"/>
    </row>
    <row r="980" spans="11:12">
      <c r="K980" s="118"/>
      <c r="L980" s="1"/>
    </row>
    <row r="981" spans="11:12">
      <c r="K981" s="118"/>
      <c r="L981" s="1"/>
    </row>
    <row r="982" spans="11:12">
      <c r="K982" s="118"/>
      <c r="L982" s="1"/>
    </row>
    <row r="983" spans="11:12">
      <c r="K983" s="118"/>
      <c r="L983" s="1"/>
    </row>
    <row r="984" spans="11:12">
      <c r="K984" s="118"/>
      <c r="L984" s="1"/>
    </row>
    <row r="985" spans="11:12">
      <c r="K985" s="118"/>
      <c r="L985" s="1"/>
    </row>
    <row r="986" spans="11:12">
      <c r="K986" s="118"/>
      <c r="L986" s="1"/>
    </row>
    <row r="987" spans="11:12">
      <c r="K987" s="118"/>
      <c r="L987" s="1"/>
    </row>
    <row r="988" spans="11:12">
      <c r="K988" s="118"/>
      <c r="L988" s="1"/>
    </row>
    <row r="989" spans="11:12">
      <c r="K989" s="118"/>
      <c r="L989" s="1"/>
    </row>
    <row r="990" spans="11:12">
      <c r="K990" s="118"/>
      <c r="L990" s="1"/>
    </row>
    <row r="991" spans="11:12">
      <c r="K991" s="118"/>
      <c r="L991" s="1"/>
    </row>
    <row r="992" spans="11:12">
      <c r="K992" s="118"/>
      <c r="L992" s="1"/>
    </row>
    <row r="993" spans="11:12">
      <c r="K993" s="118"/>
      <c r="L993" s="1"/>
    </row>
    <row r="994" spans="11:12">
      <c r="K994" s="118"/>
      <c r="L994" s="1"/>
    </row>
    <row r="995" spans="11:12">
      <c r="K995" s="118"/>
      <c r="L995" s="1"/>
    </row>
    <row r="996" spans="11:12">
      <c r="K996" s="118"/>
      <c r="L996" s="1"/>
    </row>
    <row r="997" spans="11:12">
      <c r="K997" s="118"/>
      <c r="L997" s="1"/>
    </row>
    <row r="998" spans="11:12">
      <c r="K998" s="118"/>
      <c r="L998" s="1"/>
    </row>
    <row r="999" spans="11:12">
      <c r="K999" s="118"/>
      <c r="L999" s="1"/>
    </row>
    <row r="1000" spans="11:12">
      <c r="K1000" s="118"/>
      <c r="L1000" s="1"/>
    </row>
    <row r="1001" spans="11:12">
      <c r="K1001" s="118"/>
      <c r="L1001" s="1"/>
    </row>
    <row r="1002" spans="11:12">
      <c r="K1002" s="118"/>
      <c r="L1002" s="1"/>
    </row>
    <row r="1003" spans="11:12">
      <c r="K1003" s="118"/>
      <c r="L1003" s="1"/>
    </row>
    <row r="1004" spans="11:12">
      <c r="K1004" s="118"/>
      <c r="L1004" s="1"/>
    </row>
    <row r="1005" spans="11:12">
      <c r="K1005" s="118"/>
      <c r="L1005" s="1"/>
    </row>
    <row r="1006" spans="11:12">
      <c r="K1006" s="118"/>
      <c r="L1006" s="1"/>
    </row>
    <row r="1007" spans="11:12">
      <c r="K1007" s="118"/>
      <c r="L1007" s="1"/>
    </row>
    <row r="1008" spans="11:12">
      <c r="K1008" s="118"/>
      <c r="L1008" s="1"/>
    </row>
    <row r="1009" spans="11:12">
      <c r="K1009" s="118"/>
      <c r="L1009" s="1"/>
    </row>
    <row r="1010" spans="11:12">
      <c r="K1010" s="118"/>
      <c r="L1010" s="1"/>
    </row>
    <row r="1011" spans="11:12">
      <c r="K1011" s="118"/>
      <c r="L1011" s="1"/>
    </row>
    <row r="1012" spans="11:12">
      <c r="K1012" s="118"/>
      <c r="L1012" s="1"/>
    </row>
    <row r="1013" spans="11:12">
      <c r="K1013" s="118"/>
      <c r="L1013" s="1"/>
    </row>
    <row r="1014" spans="11:12">
      <c r="K1014" s="118"/>
      <c r="L1014" s="1"/>
    </row>
    <row r="1015" spans="11:12">
      <c r="K1015" s="118"/>
      <c r="L1015" s="1"/>
    </row>
    <row r="1016" spans="11:12">
      <c r="K1016" s="118"/>
      <c r="L1016" s="1"/>
    </row>
    <row r="1017" spans="11:12">
      <c r="K1017" s="118"/>
      <c r="L1017" s="1"/>
    </row>
    <row r="1018" spans="11:12">
      <c r="K1018" s="118"/>
      <c r="L1018" s="1"/>
    </row>
    <row r="1019" spans="11:12">
      <c r="K1019" s="118"/>
      <c r="L1019" s="1"/>
    </row>
    <row r="1020" spans="11:12">
      <c r="K1020" s="118"/>
      <c r="L1020" s="1"/>
    </row>
    <row r="1021" spans="11:12">
      <c r="K1021" s="118"/>
      <c r="L1021" s="1"/>
    </row>
    <row r="1022" spans="11:12">
      <c r="K1022" s="118"/>
      <c r="L1022" s="1"/>
    </row>
    <row r="1023" spans="11:12">
      <c r="K1023" s="118"/>
      <c r="L1023" s="1"/>
    </row>
    <row r="1024" spans="11:12">
      <c r="K1024" s="118"/>
      <c r="L1024" s="1"/>
    </row>
    <row r="1025" spans="11:12">
      <c r="K1025" s="118"/>
      <c r="L1025" s="1"/>
    </row>
    <row r="1026" spans="11:12">
      <c r="K1026" s="118"/>
      <c r="L1026" s="1"/>
    </row>
    <row r="1027" spans="11:12">
      <c r="K1027" s="118"/>
      <c r="L1027" s="1"/>
    </row>
    <row r="1028" spans="11:12">
      <c r="K1028" s="118"/>
      <c r="L1028" s="1"/>
    </row>
    <row r="1029" spans="11:12">
      <c r="K1029" s="118"/>
      <c r="L1029" s="1"/>
    </row>
    <row r="1030" spans="11:12">
      <c r="K1030" s="118"/>
      <c r="L1030" s="1"/>
    </row>
    <row r="1031" spans="11:12">
      <c r="K1031" s="118"/>
      <c r="L1031" s="1"/>
    </row>
    <row r="1032" spans="11:12">
      <c r="K1032" s="118"/>
      <c r="L1032" s="1"/>
    </row>
    <row r="1033" spans="11:12">
      <c r="K1033" s="118"/>
      <c r="L1033" s="1"/>
    </row>
  </sheetData>
  <sheetProtection formatCells="0" formatColumns="0" formatRows="0" insertColumns="0" insertRows="0" insertHyperlinks="0" deleteColumns="0" deleteRows="0" sort="0" autoFilter="0" pivotTables="0"/>
  <mergeCells count="29">
    <mergeCell ref="P59:P60"/>
    <mergeCell ref="P15:P16"/>
    <mergeCell ref="A153:B153"/>
    <mergeCell ref="A1:L1"/>
    <mergeCell ref="A2:L2"/>
    <mergeCell ref="A4:A5"/>
    <mergeCell ref="B4:B5"/>
    <mergeCell ref="C4:F4"/>
    <mergeCell ref="G4:J4"/>
    <mergeCell ref="K4:K5"/>
    <mergeCell ref="L4:L5"/>
    <mergeCell ref="B90:B91"/>
    <mergeCell ref="C90:C91"/>
    <mergeCell ref="D90:D91"/>
    <mergeCell ref="E90:E91"/>
    <mergeCell ref="P64:P65"/>
    <mergeCell ref="R97:R100"/>
    <mergeCell ref="B81:B88"/>
    <mergeCell ref="A131:A132"/>
    <mergeCell ref="B131:B132"/>
    <mergeCell ref="P95:P96"/>
    <mergeCell ref="P78:P80"/>
    <mergeCell ref="A141:B141"/>
    <mergeCell ref="H90:H91"/>
    <mergeCell ref="I90:I91"/>
    <mergeCell ref="J90:J91"/>
    <mergeCell ref="K90:K91"/>
    <mergeCell ref="F90:F91"/>
    <mergeCell ref="G90:G91"/>
  </mergeCells>
  <pageMargins left="0.59055118110236227" right="0.59055118110236227" top="0.78740157480314965" bottom="0.39370078740157483" header="0" footer="0"/>
  <pageSetup paperSize="9" scale="37" fitToHeight="0" orientation="landscape" r:id="rId1"/>
  <rowBreaks count="17" manualBreakCount="17">
    <brk id="14" max="11" man="1"/>
    <brk id="23" max="11" man="1"/>
    <brk id="26" max="11" man="1"/>
    <brk id="32" max="11" man="1"/>
    <brk id="41" max="11" man="1"/>
    <brk id="47" max="11" man="1"/>
    <brk id="54" max="11" man="1"/>
    <brk id="63" max="11" man="1"/>
    <brk id="69" max="11" man="1"/>
    <brk id="83" max="11" man="1"/>
    <brk id="89" max="11" man="1"/>
    <brk id="94" max="11" man="1"/>
    <brk id="100" max="11" man="1"/>
    <brk id="108" max="11" man="1"/>
    <brk id="116" max="11" man="1"/>
    <brk id="122" max="11" man="1"/>
    <brk id="1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2" sqref="D2"/>
    </sheetView>
  </sheetViews>
  <sheetFormatPr defaultRowHeight="15"/>
  <cols>
    <col min="1" max="1" width="15.140625" customWidth="1"/>
    <col min="4" max="4" width="11" customWidth="1"/>
  </cols>
  <sheetData>
    <row r="1" spans="1:4">
      <c r="A1">
        <v>23862.6</v>
      </c>
      <c r="D1" s="309">
        <v>16079</v>
      </c>
    </row>
    <row r="2" spans="1:4">
      <c r="A2">
        <v>1606.09</v>
      </c>
      <c r="D2" s="309">
        <v>2554</v>
      </c>
    </row>
    <row r="3" spans="1:4">
      <c r="A3">
        <v>217.85</v>
      </c>
      <c r="D3" s="309">
        <v>256</v>
      </c>
    </row>
    <row r="4" spans="1:4">
      <c r="A4">
        <v>19.399999999999999</v>
      </c>
      <c r="D4" s="309">
        <v>211</v>
      </c>
    </row>
    <row r="5" spans="1:4">
      <c r="A5">
        <v>6.79</v>
      </c>
      <c r="D5">
        <f>SUM(D1:D4)</f>
        <v>19100</v>
      </c>
    </row>
    <row r="6" spans="1:4">
      <c r="A6">
        <v>3.1</v>
      </c>
      <c r="D6">
        <v>19100</v>
      </c>
    </row>
    <row r="7" spans="1:4">
      <c r="A7">
        <v>3179.6</v>
      </c>
      <c r="D7">
        <f>D6-D5</f>
        <v>0</v>
      </c>
    </row>
    <row r="8" spans="1:4">
      <c r="A8">
        <v>2449.33</v>
      </c>
    </row>
    <row r="9" spans="1:4">
      <c r="A9">
        <v>395.64</v>
      </c>
    </row>
    <row r="10" spans="1:4">
      <c r="A10">
        <v>100</v>
      </c>
    </row>
    <row r="11" spans="1:4">
      <c r="A11">
        <f>SUM(A1:A10)</f>
        <v>31840.399999999994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5" sqref="C5:I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208"/>
  <sheetViews>
    <sheetView zoomScale="60" zoomScaleNormal="60" zoomScaleSheetLayoutView="50" workbookViewId="0">
      <pane ySplit="5" topLeftCell="A142" activePane="bottomLeft" state="frozen"/>
      <selection pane="bottomLeft" activeCell="L193" sqref="L193"/>
    </sheetView>
  </sheetViews>
  <sheetFormatPr defaultColWidth="9.140625" defaultRowHeight="18.75"/>
  <cols>
    <col min="1" max="1" width="7.5703125" style="205" customWidth="1"/>
    <col min="2" max="2" width="38.7109375" style="205" customWidth="1"/>
    <col min="3" max="5" width="19" style="280" bestFit="1" customWidth="1"/>
    <col min="6" max="6" width="21.28515625" style="281" bestFit="1" customWidth="1"/>
    <col min="7" max="7" width="21.140625" style="280" customWidth="1"/>
    <col min="8" max="8" width="20.140625" style="280" customWidth="1"/>
    <col min="9" max="9" width="20.28515625" style="280" customWidth="1"/>
    <col min="10" max="10" width="19" style="281" bestFit="1" customWidth="1"/>
    <col min="11" max="11" width="20.85546875" style="251" customWidth="1"/>
    <col min="12" max="12" width="145.7109375" style="205" customWidth="1"/>
    <col min="13" max="13" width="17.140625" style="252" hidden="1" customWidth="1"/>
    <col min="14" max="14" width="18.7109375" style="219" hidden="1" customWidth="1"/>
    <col min="15" max="15" width="17.140625" style="252" customWidth="1"/>
    <col min="16" max="16" width="16.85546875" style="342" customWidth="1"/>
    <col min="17" max="17" width="15.42578125" style="343" customWidth="1"/>
    <col min="18" max="18" width="13.28515625" style="244" customWidth="1"/>
    <col min="19" max="19" width="12.5703125" style="244" customWidth="1"/>
    <col min="20" max="20" width="15.5703125" style="244" customWidth="1"/>
    <col min="21" max="21" width="13.140625" style="244" customWidth="1"/>
    <col min="22" max="22" width="14.85546875" style="244" customWidth="1"/>
    <col min="23" max="23" width="21.85546875" style="244" customWidth="1"/>
    <col min="24" max="24" width="9.140625" style="244"/>
    <col min="25" max="25" width="11" style="244" customWidth="1"/>
    <col min="26" max="26" width="10.7109375" style="244" customWidth="1"/>
    <col min="27" max="29" width="9.140625" style="205"/>
    <col min="30" max="30" width="10.7109375" style="205" customWidth="1"/>
    <col min="31" max="34" width="9.140625" style="205"/>
    <col min="35" max="35" width="10.85546875" style="205" customWidth="1"/>
    <col min="36" max="36" width="13.85546875" style="205" customWidth="1"/>
    <col min="37" max="37" width="11.42578125" style="205" customWidth="1"/>
    <col min="38" max="39" width="9.140625" style="205"/>
    <col min="40" max="40" width="12.42578125" style="205" customWidth="1"/>
    <col min="41" max="69" width="9.140625" style="205"/>
    <col min="70" max="70" width="21.85546875" style="205" customWidth="1"/>
    <col min="71" max="16384" width="9.140625" style="205"/>
  </cols>
  <sheetData>
    <row r="1" spans="1:26" ht="33.75" customHeight="1">
      <c r="A1" s="684" t="s">
        <v>92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</row>
    <row r="2" spans="1:26" ht="34.5" customHeight="1">
      <c r="A2" s="684" t="s">
        <v>222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  <c r="R2" s="265"/>
    </row>
    <row r="3" spans="1:26" ht="20.25" customHeight="1">
      <c r="A3" s="206"/>
      <c r="B3" s="206"/>
      <c r="K3" s="247"/>
      <c r="L3" s="207" t="s">
        <v>16</v>
      </c>
      <c r="R3" s="265"/>
      <c r="S3" s="265"/>
      <c r="T3" s="265"/>
    </row>
    <row r="4" spans="1:26" s="208" customFormat="1" ht="30" customHeight="1">
      <c r="A4" s="685" t="s">
        <v>17</v>
      </c>
      <c r="B4" s="685" t="s">
        <v>18</v>
      </c>
      <c r="C4" s="687" t="s">
        <v>19</v>
      </c>
      <c r="D4" s="688"/>
      <c r="E4" s="688"/>
      <c r="F4" s="689"/>
      <c r="G4" s="687" t="s">
        <v>0</v>
      </c>
      <c r="H4" s="688"/>
      <c r="I4" s="688"/>
      <c r="J4" s="689"/>
      <c r="K4" s="690" t="s">
        <v>211</v>
      </c>
      <c r="L4" s="685" t="s">
        <v>20</v>
      </c>
      <c r="M4" s="253"/>
      <c r="N4" s="255"/>
      <c r="O4" s="253"/>
      <c r="P4" s="327"/>
      <c r="Q4" s="328"/>
      <c r="R4" s="267"/>
      <c r="S4" s="267"/>
      <c r="T4" s="266"/>
      <c r="U4" s="266"/>
      <c r="V4" s="266"/>
      <c r="W4" s="266"/>
      <c r="X4" s="266"/>
      <c r="Y4" s="266"/>
      <c r="Z4" s="266"/>
    </row>
    <row r="5" spans="1:26" s="208" customFormat="1" ht="28.5" customHeight="1">
      <c r="A5" s="686"/>
      <c r="B5" s="686"/>
      <c r="C5" s="282" t="s">
        <v>21</v>
      </c>
      <c r="D5" s="282" t="s">
        <v>22</v>
      </c>
      <c r="E5" s="282" t="s">
        <v>23</v>
      </c>
      <c r="F5" s="282" t="s">
        <v>24</v>
      </c>
      <c r="G5" s="282" t="s">
        <v>21</v>
      </c>
      <c r="H5" s="282" t="s">
        <v>22</v>
      </c>
      <c r="I5" s="282" t="s">
        <v>23</v>
      </c>
      <c r="J5" s="282" t="s">
        <v>24</v>
      </c>
      <c r="K5" s="691"/>
      <c r="L5" s="686"/>
      <c r="M5" s="253"/>
      <c r="N5" s="255"/>
      <c r="O5" s="253"/>
      <c r="P5" s="327"/>
      <c r="Q5" s="328"/>
      <c r="R5" s="266"/>
      <c r="S5" s="267"/>
      <c r="T5" s="266"/>
      <c r="U5" s="266"/>
      <c r="V5" s="266"/>
      <c r="W5" s="266"/>
      <c r="X5" s="266"/>
      <c r="Y5" s="266"/>
      <c r="Z5" s="266"/>
    </row>
    <row r="6" spans="1:26" s="211" customFormat="1" ht="18.75" customHeight="1">
      <c r="A6" s="209">
        <v>1</v>
      </c>
      <c r="B6" s="210">
        <v>2</v>
      </c>
      <c r="C6" s="245">
        <v>3</v>
      </c>
      <c r="D6" s="245">
        <v>4</v>
      </c>
      <c r="E6" s="245">
        <v>5</v>
      </c>
      <c r="F6" s="245">
        <v>6</v>
      </c>
      <c r="G6" s="245">
        <v>7</v>
      </c>
      <c r="H6" s="245">
        <v>8</v>
      </c>
      <c r="I6" s="245">
        <v>9</v>
      </c>
      <c r="J6" s="245">
        <v>10</v>
      </c>
      <c r="K6" s="286">
        <v>11</v>
      </c>
      <c r="L6" s="210">
        <v>12</v>
      </c>
      <c r="M6" s="254"/>
      <c r="N6" s="212"/>
      <c r="O6" s="254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</row>
    <row r="7" spans="1:26" ht="369.75" customHeight="1">
      <c r="A7" s="351" t="s">
        <v>25</v>
      </c>
      <c r="B7" s="295" t="s">
        <v>90</v>
      </c>
      <c r="C7" s="365">
        <v>45729.7</v>
      </c>
      <c r="D7" s="363">
        <v>4208.1000000000004</v>
      </c>
      <c r="E7" s="363">
        <v>1188.5999999999999</v>
      </c>
      <c r="F7" s="363">
        <f>E7+D7+C7</f>
        <v>51126.399999999994</v>
      </c>
      <c r="G7" s="363">
        <v>37268.5</v>
      </c>
      <c r="H7" s="363">
        <v>4206.3</v>
      </c>
      <c r="I7" s="363">
        <v>1091.3</v>
      </c>
      <c r="J7" s="363">
        <f>G7+H7+I7</f>
        <v>42566.100000000006</v>
      </c>
      <c r="K7" s="377">
        <f>J7/F7*100</f>
        <v>83.256595418413994</v>
      </c>
      <c r="L7" s="8" t="s">
        <v>354</v>
      </c>
      <c r="M7" s="353">
        <f>124+19.3+165.3+19.3+120.9+200+182.6+220+220+183.4+183.4+120.9+111.8+2.3</f>
        <v>1873.2000000000003</v>
      </c>
      <c r="N7" s="651">
        <f>M7+M9+M10+M11+M12+M13+M14+M16</f>
        <v>21214.799999999999</v>
      </c>
      <c r="O7" s="681">
        <f>124+19.3+165.3+19.3+120.9+200+182.6+220+220+183.4+183.4+120.9+111.8+742.3+800+27.9+200+183.4+3.1+20</f>
        <v>3847.6000000000004</v>
      </c>
      <c r="P7" s="626">
        <f>O7+O9+O10</f>
        <v>7967</v>
      </c>
      <c r="Q7" s="354">
        <f>O7+O9+O10+O11+O12+O13+O14+O16</f>
        <v>42566.100000000006</v>
      </c>
      <c r="R7" s="264">
        <f>J7-Q7</f>
        <v>0</v>
      </c>
    </row>
    <row r="8" spans="1:26" ht="85.5" customHeight="1">
      <c r="A8" s="77"/>
      <c r="B8" s="296"/>
      <c r="C8" s="303"/>
      <c r="D8" s="171"/>
      <c r="E8" s="171"/>
      <c r="F8" s="171"/>
      <c r="G8" s="171"/>
      <c r="H8" s="171"/>
      <c r="I8" s="171"/>
      <c r="J8" s="171"/>
      <c r="K8" s="349"/>
      <c r="L8" s="12" t="s">
        <v>241</v>
      </c>
      <c r="M8" s="340"/>
      <c r="N8" s="652"/>
      <c r="O8" s="639"/>
      <c r="P8" s="627"/>
      <c r="Q8" s="342"/>
    </row>
    <row r="9" spans="1:26" ht="117" customHeight="1">
      <c r="A9" s="77"/>
      <c r="B9" s="296"/>
      <c r="C9" s="303"/>
      <c r="D9" s="171"/>
      <c r="E9" s="171"/>
      <c r="F9" s="171"/>
      <c r="G9" s="171"/>
      <c r="H9" s="171"/>
      <c r="I9" s="171"/>
      <c r="J9" s="171"/>
      <c r="K9" s="349"/>
      <c r="L9" s="12" t="s">
        <v>216</v>
      </c>
      <c r="M9" s="340">
        <f>35.7+815.5</f>
        <v>851.2</v>
      </c>
      <c r="N9" s="652"/>
      <c r="O9" s="340">
        <f>35.7+815.5</f>
        <v>851.2</v>
      </c>
      <c r="P9" s="627"/>
    </row>
    <row r="10" spans="1:26" ht="120" customHeight="1">
      <c r="A10" s="77"/>
      <c r="B10" s="296"/>
      <c r="C10" s="303"/>
      <c r="D10" s="171"/>
      <c r="E10" s="171"/>
      <c r="F10" s="171"/>
      <c r="G10" s="171"/>
      <c r="H10" s="171"/>
      <c r="I10" s="171"/>
      <c r="J10" s="171"/>
      <c r="K10" s="349"/>
      <c r="L10" s="12" t="s">
        <v>329</v>
      </c>
      <c r="M10" s="340">
        <f>486.3+2.1+203.8</f>
        <v>692.2</v>
      </c>
      <c r="N10" s="652"/>
      <c r="O10" s="273">
        <f>94.7+3173.5</f>
        <v>3268.2</v>
      </c>
      <c r="P10" s="628"/>
    </row>
    <row r="11" spans="1:26" ht="105.75" customHeight="1">
      <c r="A11" s="77"/>
      <c r="B11" s="296"/>
      <c r="C11" s="303"/>
      <c r="D11" s="171"/>
      <c r="E11" s="171"/>
      <c r="F11" s="171"/>
      <c r="G11" s="171"/>
      <c r="H11" s="171"/>
      <c r="I11" s="171"/>
      <c r="J11" s="171"/>
      <c r="K11" s="349"/>
      <c r="L11" s="12" t="s">
        <v>351</v>
      </c>
      <c r="M11" s="340">
        <v>30</v>
      </c>
      <c r="N11" s="652"/>
      <c r="O11" s="252">
        <f>30+3.9+4+120</f>
        <v>157.9</v>
      </c>
    </row>
    <row r="12" spans="1:26" ht="319.5" customHeight="1">
      <c r="A12" s="217"/>
      <c r="B12" s="297"/>
      <c r="C12" s="304"/>
      <c r="D12" s="172"/>
      <c r="E12" s="172"/>
      <c r="F12" s="171"/>
      <c r="G12" s="172"/>
      <c r="H12" s="172"/>
      <c r="I12" s="172"/>
      <c r="J12" s="171"/>
      <c r="K12" s="349"/>
      <c r="L12" s="71" t="s">
        <v>328</v>
      </c>
      <c r="M12" s="340">
        <f>4942.6+106+128.5+1407.2+951.4+64.6+90.4+3.2+4.5+156.4+146.1+10.2+3.3</f>
        <v>8014.4</v>
      </c>
      <c r="N12" s="652"/>
      <c r="O12" s="353">
        <f>6546.3+109.7+128.5+2033.7+114.6+64.6+126.8+3.2+4.5+247.1+1426.6+11.9+5.1</f>
        <v>10822.600000000002</v>
      </c>
      <c r="P12" s="626">
        <f>O12+O13+O14</f>
        <v>15212.800000000003</v>
      </c>
    </row>
    <row r="13" spans="1:26" ht="45.75" customHeight="1">
      <c r="A13" s="217"/>
      <c r="B13" s="297"/>
      <c r="C13" s="304"/>
      <c r="D13" s="172"/>
      <c r="E13" s="172"/>
      <c r="F13" s="171"/>
      <c r="G13" s="172"/>
      <c r="H13" s="172"/>
      <c r="I13" s="172"/>
      <c r="J13" s="171"/>
      <c r="K13" s="349"/>
      <c r="L13" s="71" t="s">
        <v>242</v>
      </c>
      <c r="M13" s="340">
        <v>146.30000000000001</v>
      </c>
      <c r="N13" s="652"/>
      <c r="O13" s="340">
        <v>195</v>
      </c>
      <c r="P13" s="627"/>
    </row>
    <row r="14" spans="1:26" ht="92.25" customHeight="1">
      <c r="A14" s="217"/>
      <c r="B14" s="297"/>
      <c r="C14" s="304"/>
      <c r="D14" s="172"/>
      <c r="E14" s="172"/>
      <c r="F14" s="171"/>
      <c r="G14" s="172"/>
      <c r="H14" s="172"/>
      <c r="I14" s="172"/>
      <c r="J14" s="171"/>
      <c r="K14" s="349"/>
      <c r="L14" s="71" t="s">
        <v>243</v>
      </c>
      <c r="M14" s="340">
        <f>562.7+169.9+1453.2+23.2+3+102.8+28+5.5+0.2</f>
        <v>2348.5</v>
      </c>
      <c r="N14" s="652"/>
      <c r="O14" s="273">
        <f>732.3+221.2+2863.1+125+4.1+112.5+131.3+5.5+0.2</f>
        <v>4195.2</v>
      </c>
      <c r="P14" s="628"/>
    </row>
    <row r="15" spans="1:26" ht="77.25" hidden="1" customHeight="1">
      <c r="A15" s="217"/>
      <c r="B15" s="297"/>
      <c r="C15" s="304"/>
      <c r="D15" s="172"/>
      <c r="E15" s="172"/>
      <c r="F15" s="171"/>
      <c r="G15" s="172"/>
      <c r="H15" s="172"/>
      <c r="I15" s="172"/>
      <c r="J15" s="171"/>
      <c r="K15" s="349"/>
      <c r="L15" s="71"/>
      <c r="M15" s="340"/>
      <c r="N15" s="652"/>
    </row>
    <row r="16" spans="1:26" ht="51" customHeight="1">
      <c r="A16" s="213"/>
      <c r="B16" s="297"/>
      <c r="C16" s="304"/>
      <c r="D16" s="367"/>
      <c r="E16" s="367"/>
      <c r="F16" s="366"/>
      <c r="G16" s="367"/>
      <c r="H16" s="367"/>
      <c r="I16" s="367"/>
      <c r="J16" s="366"/>
      <c r="K16" s="350"/>
      <c r="L16" s="28" t="s">
        <v>352</v>
      </c>
      <c r="M16" s="273">
        <v>7259</v>
      </c>
      <c r="N16" s="653"/>
      <c r="O16" s="252">
        <v>19228.400000000001</v>
      </c>
    </row>
    <row r="17" spans="1:20" ht="162" customHeight="1">
      <c r="A17" s="215" t="s">
        <v>26</v>
      </c>
      <c r="B17" s="257" t="s">
        <v>85</v>
      </c>
      <c r="C17" s="104">
        <v>1705</v>
      </c>
      <c r="D17" s="104">
        <v>1500</v>
      </c>
      <c r="E17" s="104">
        <v>0</v>
      </c>
      <c r="F17" s="104">
        <f>E17+D17+C17</f>
        <v>3205</v>
      </c>
      <c r="G17" s="382">
        <f>1703.2</f>
        <v>1703.2</v>
      </c>
      <c r="H17" s="382">
        <f>1466.4</f>
        <v>1466.4</v>
      </c>
      <c r="I17" s="104">
        <v>0</v>
      </c>
      <c r="J17" s="104">
        <f>SUM(G17:I17)</f>
        <v>3169.6000000000004</v>
      </c>
      <c r="K17" s="102">
        <f>J17/F17*100</f>
        <v>98.895475819032768</v>
      </c>
      <c r="L17" s="131" t="s">
        <v>337</v>
      </c>
      <c r="O17" s="252">
        <f>173.2+1466.4+30+1500</f>
        <v>3169.6000000000004</v>
      </c>
      <c r="P17" s="342">
        <f>J17-O17</f>
        <v>0</v>
      </c>
    </row>
    <row r="18" spans="1:20" ht="67.5" customHeight="1">
      <c r="A18" s="215" t="s">
        <v>27</v>
      </c>
      <c r="B18" s="162" t="s">
        <v>84</v>
      </c>
      <c r="C18" s="104">
        <f>C19+C58+C65</f>
        <v>410209.7</v>
      </c>
      <c r="D18" s="104">
        <f t="shared" ref="D18:J18" si="0">D19+D58+D65</f>
        <v>805399</v>
      </c>
      <c r="E18" s="104">
        <f t="shared" si="0"/>
        <v>91801.2</v>
      </c>
      <c r="F18" s="104">
        <f t="shared" si="0"/>
        <v>1307409.8999999999</v>
      </c>
      <c r="G18" s="104">
        <f t="shared" si="0"/>
        <v>383195.3</v>
      </c>
      <c r="H18" s="104">
        <f t="shared" si="0"/>
        <v>785791.7</v>
      </c>
      <c r="I18" s="104">
        <f t="shared" si="0"/>
        <v>90644</v>
      </c>
      <c r="J18" s="104">
        <f t="shared" si="0"/>
        <v>1259631</v>
      </c>
      <c r="K18" s="102">
        <f>J18*100/F18</f>
        <v>96.345530196765381</v>
      </c>
      <c r="L18" s="337"/>
      <c r="O18" s="336"/>
    </row>
    <row r="19" spans="1:20" ht="123.75" customHeight="1">
      <c r="A19" s="216" t="s">
        <v>58</v>
      </c>
      <c r="B19" s="8" t="s">
        <v>33</v>
      </c>
      <c r="C19" s="165">
        <v>333311.7</v>
      </c>
      <c r="D19" s="165">
        <v>805399</v>
      </c>
      <c r="E19" s="165">
        <v>91801.2</v>
      </c>
      <c r="F19" s="166">
        <f>E19+D19+C19</f>
        <v>1230511.8999999999</v>
      </c>
      <c r="G19" s="165">
        <v>307541.5</v>
      </c>
      <c r="H19" s="165">
        <v>785791.7</v>
      </c>
      <c r="I19" s="165">
        <v>90644</v>
      </c>
      <c r="J19" s="166">
        <f>G19+H19+I19</f>
        <v>1183977.2</v>
      </c>
      <c r="K19" s="377">
        <f>J19*100/F19</f>
        <v>96.218264935105466</v>
      </c>
      <c r="L19" s="163" t="s">
        <v>353</v>
      </c>
      <c r="M19" s="353">
        <f>26980.6+43.6+157.3+9698.1+1438.9+583.6+2486.6+67.4+1200.4</f>
        <v>42656.5</v>
      </c>
      <c r="N19" s="682">
        <f>SUM(M19:M57)</f>
        <v>829670.5</v>
      </c>
      <c r="O19" s="325">
        <f>37282.57+65.93+239.01+12644.54+2137.95+731.41+3701.24+82.67+1864.81</f>
        <v>58750.13</v>
      </c>
      <c r="Q19" s="342"/>
    </row>
    <row r="20" spans="1:20" ht="79.5" hidden="1" customHeight="1">
      <c r="A20" s="217"/>
      <c r="B20" s="12"/>
      <c r="C20" s="175"/>
      <c r="D20" s="175"/>
      <c r="E20" s="175"/>
      <c r="F20" s="176"/>
      <c r="G20" s="175"/>
      <c r="H20" s="175"/>
      <c r="I20" s="175"/>
      <c r="J20" s="176"/>
      <c r="K20" s="349"/>
      <c r="L20" s="71" t="s">
        <v>93</v>
      </c>
      <c r="M20" s="340"/>
      <c r="N20" s="652"/>
    </row>
    <row r="21" spans="1:20" ht="70.5" customHeight="1">
      <c r="A21" s="217"/>
      <c r="B21" s="12"/>
      <c r="C21" s="175"/>
      <c r="D21" s="175"/>
      <c r="E21" s="175"/>
      <c r="F21" s="176"/>
      <c r="G21" s="175"/>
      <c r="H21" s="175"/>
      <c r="I21" s="175"/>
      <c r="J21" s="176"/>
      <c r="K21" s="349"/>
      <c r="L21" s="12" t="s">
        <v>282</v>
      </c>
      <c r="M21" s="340">
        <v>72.75</v>
      </c>
      <c r="N21" s="652"/>
      <c r="O21" s="252">
        <v>72.739999999999995</v>
      </c>
    </row>
    <row r="22" spans="1:20" ht="409.5" customHeight="1">
      <c r="A22" s="218"/>
      <c r="B22" s="12"/>
      <c r="C22" s="175"/>
      <c r="D22" s="175"/>
      <c r="E22" s="175"/>
      <c r="F22" s="176"/>
      <c r="G22" s="175"/>
      <c r="H22" s="175"/>
      <c r="I22" s="175"/>
      <c r="J22" s="176"/>
      <c r="K22" s="349"/>
      <c r="L22" s="12" t="s">
        <v>284</v>
      </c>
      <c r="M22" s="340">
        <f>106+199.1+122.1+138.3+23.4+8.4+161.6+130+55+37.9+4+9.5+3.8+122.4+40+2510.2+86.5+68.7+35+154.2+13.6+597.8+1133.3+1410.6+5+5</f>
        <v>7181.4</v>
      </c>
      <c r="N22" s="652"/>
      <c r="O22" s="683">
        <f>106+199.1+122.1+138.32+22.75+23.44+112.27+168.57+130+55+37.9+8+13+7.8+4+122.4+53.84+40+2510.2+165.44+80.98+35+154.2+13.6+12.3+597.85+1133.3+1410.6+5+5+52.45+167.91+24.24+21.73+50.2+96.6</f>
        <v>7901.09</v>
      </c>
      <c r="P22" s="659"/>
    </row>
    <row r="23" spans="1:20" ht="83.25" customHeight="1">
      <c r="A23" s="218"/>
      <c r="B23" s="12"/>
      <c r="C23" s="175"/>
      <c r="D23" s="175"/>
      <c r="E23" s="175"/>
      <c r="F23" s="176"/>
      <c r="G23" s="175"/>
      <c r="H23" s="175"/>
      <c r="I23" s="175"/>
      <c r="J23" s="176"/>
      <c r="K23" s="349"/>
      <c r="L23" s="12" t="s">
        <v>283</v>
      </c>
      <c r="M23" s="340"/>
      <c r="N23" s="652"/>
      <c r="O23" s="683"/>
      <c r="P23" s="659"/>
    </row>
    <row r="24" spans="1:20" hidden="1">
      <c r="A24" s="218"/>
      <c r="B24" s="12"/>
      <c r="C24" s="175"/>
      <c r="D24" s="175"/>
      <c r="E24" s="175"/>
      <c r="F24" s="176"/>
      <c r="G24" s="175"/>
      <c r="H24" s="175"/>
      <c r="I24" s="175"/>
      <c r="J24" s="176"/>
      <c r="K24" s="349"/>
      <c r="L24" s="12"/>
      <c r="M24" s="340"/>
      <c r="N24" s="652"/>
    </row>
    <row r="25" spans="1:20" ht="99.75" customHeight="1">
      <c r="A25" s="218"/>
      <c r="B25" s="12"/>
      <c r="C25" s="175"/>
      <c r="D25" s="175"/>
      <c r="E25" s="175"/>
      <c r="F25" s="176"/>
      <c r="G25" s="175"/>
      <c r="H25" s="175"/>
      <c r="I25" s="175"/>
      <c r="J25" s="176"/>
      <c r="K25" s="349"/>
      <c r="L25" s="12" t="s">
        <v>285</v>
      </c>
      <c r="M25" s="340">
        <f>97856.7+35.25+1347.53+947.24+28.09</f>
        <v>100214.81</v>
      </c>
      <c r="N25" s="652"/>
      <c r="O25" s="252">
        <f>139686.24+75.07+1815.9+694.18+605.96</f>
        <v>142877.34999999998</v>
      </c>
    </row>
    <row r="26" spans="1:20" ht="75" customHeight="1">
      <c r="A26" s="218"/>
      <c r="B26" s="12"/>
      <c r="C26" s="175"/>
      <c r="D26" s="175"/>
      <c r="E26" s="175"/>
      <c r="F26" s="176"/>
      <c r="G26" s="175"/>
      <c r="H26" s="175"/>
      <c r="I26" s="175"/>
      <c r="J26" s="176"/>
      <c r="K26" s="349"/>
      <c r="L26" s="71" t="s">
        <v>286</v>
      </c>
      <c r="M26" s="340">
        <f>2964.54+60.5</f>
        <v>3025.04</v>
      </c>
      <c r="N26" s="652"/>
      <c r="O26" s="252">
        <f>3202+65.35</f>
        <v>3267.35</v>
      </c>
    </row>
    <row r="27" spans="1:20" hidden="1">
      <c r="A27" s="218"/>
      <c r="B27" s="12"/>
      <c r="C27" s="175"/>
      <c r="D27" s="175"/>
      <c r="E27" s="175"/>
      <c r="F27" s="176"/>
      <c r="G27" s="175"/>
      <c r="H27" s="175"/>
      <c r="I27" s="175"/>
      <c r="J27" s="176"/>
      <c r="K27" s="349"/>
      <c r="L27" s="12"/>
      <c r="M27" s="340"/>
      <c r="N27" s="652"/>
    </row>
    <row r="28" spans="1:20" hidden="1">
      <c r="A28" s="218"/>
      <c r="B28" s="12"/>
      <c r="C28" s="175"/>
      <c r="D28" s="175"/>
      <c r="E28" s="175"/>
      <c r="F28" s="176"/>
      <c r="G28" s="175"/>
      <c r="H28" s="175"/>
      <c r="I28" s="175"/>
      <c r="J28" s="176"/>
      <c r="K28" s="349"/>
      <c r="L28" s="71"/>
      <c r="M28" s="340"/>
      <c r="N28" s="652"/>
    </row>
    <row r="29" spans="1:20" ht="113.25" customHeight="1">
      <c r="A29" s="218"/>
      <c r="B29" s="12"/>
      <c r="C29" s="175"/>
      <c r="D29" s="175"/>
      <c r="E29" s="175"/>
      <c r="F29" s="176"/>
      <c r="G29" s="175"/>
      <c r="H29" s="175"/>
      <c r="I29" s="175"/>
      <c r="J29" s="176"/>
      <c r="K29" s="349"/>
      <c r="L29" s="12" t="s">
        <v>338</v>
      </c>
      <c r="M29" s="340">
        <f>37256.75+165.4+1576.31+37236.23+36.3+7690.44+4011.3+7496.32+302.86+10829.39</f>
        <v>106601.30000000002</v>
      </c>
      <c r="N29" s="652"/>
      <c r="O29" s="252">
        <f>55647.13+248.47+2901.44+53065.86+197.69+12427.58+5193.37+11584.88+770.17+16904.28</f>
        <v>158940.87</v>
      </c>
    </row>
    <row r="30" spans="1:20" ht="63" hidden="1" customHeight="1">
      <c r="A30" s="218"/>
      <c r="B30" s="12"/>
      <c r="C30" s="175"/>
      <c r="D30" s="175"/>
      <c r="E30" s="175"/>
      <c r="F30" s="176"/>
      <c r="G30" s="175"/>
      <c r="H30" s="175"/>
      <c r="I30" s="175"/>
      <c r="J30" s="176"/>
      <c r="K30" s="349"/>
      <c r="L30" s="71"/>
      <c r="M30" s="340"/>
      <c r="N30" s="652"/>
    </row>
    <row r="31" spans="1:20" ht="129.75" customHeight="1">
      <c r="A31" s="218"/>
      <c r="B31" s="12"/>
      <c r="C31" s="175"/>
      <c r="D31" s="175"/>
      <c r="E31" s="175"/>
      <c r="F31" s="176"/>
      <c r="G31" s="175"/>
      <c r="H31" s="175"/>
      <c r="I31" s="175"/>
      <c r="J31" s="176"/>
      <c r="K31" s="349"/>
      <c r="L31" s="12" t="s">
        <v>287</v>
      </c>
      <c r="M31" s="340">
        <f>34.78+10+145.96+116.13</f>
        <v>306.87</v>
      </c>
      <c r="N31" s="652"/>
      <c r="O31" s="252">
        <f>34.78+5+5+145.96+116.13+599</f>
        <v>905.87</v>
      </c>
    </row>
    <row r="32" spans="1:20" ht="336" customHeight="1">
      <c r="A32" s="218"/>
      <c r="B32" s="12"/>
      <c r="C32" s="175"/>
      <c r="D32" s="175"/>
      <c r="E32" s="175"/>
      <c r="F32" s="176"/>
      <c r="G32" s="175"/>
      <c r="H32" s="175"/>
      <c r="I32" s="175"/>
      <c r="J32" s="176"/>
      <c r="K32" s="137"/>
      <c r="L32" s="355" t="s">
        <v>331</v>
      </c>
      <c r="M32" s="340">
        <f>538.42+136+23.1+70+599.99+58+282.39+4+4+18+13+13+70+140+70+50+70+70+1202.4+70+70+70+199.87+383.88+1+4+8.5+15+24.5+25+38.5+45+55.8+29.7+575.13+585.97+570.62+200+549.28+157.35+19.04+44.12</f>
        <v>7174.56</v>
      </c>
      <c r="N32" s="652"/>
      <c r="O32" s="252">
        <f>125.59+458.3+576.6+26.99+337.19+95.13+38.93+592.01+2.5+5+5+10+5+5+5+9.6+7.5+41.8+12.2+136+93+89+18+23.05+70+599.99+58+282.39+45.85+575.13+585.97+941.64+2009.35+286.73+501.13+78.81+106.15+99.98+47.04+200+5.4+549.28</f>
        <v>9761.23</v>
      </c>
      <c r="P32" s="670">
        <f>O32+O33+O34</f>
        <v>32317.16</v>
      </c>
      <c r="Q32" s="354">
        <v>32317.16</v>
      </c>
      <c r="R32" s="264">
        <f>Q32-P32</f>
        <v>0</v>
      </c>
      <c r="T32" s="264"/>
    </row>
    <row r="33" spans="1:70" ht="337.5" customHeight="1">
      <c r="A33" s="218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294</v>
      </c>
      <c r="M33" s="340">
        <f>24.12+10+50+40+68.6+39.5+90+753.8+862+2385.6+1506.59+531.05+4384.65+125.46+1980.45+2009.35+47.04+1145.2+1070+328.4+252.63+500+19.8</f>
        <v>18224.240000000005</v>
      </c>
      <c r="N33" s="652"/>
      <c r="O33" s="252">
        <f>215.91+125.68+80.97+300.99+157.35+19.04+44.12+39.5+90+37.15+753.84+418.34+861.99+2385.57+1506.59+734.63+4463.95+218.75+1980.45+22+409.5+43.69+10+50+40+50+68.61+39.15+4+4+18+13+13+19.04</f>
        <v>15238.810000000003</v>
      </c>
      <c r="P33" s="670"/>
      <c r="Q33" s="342"/>
      <c r="R33" s="270"/>
      <c r="S33" s="270"/>
      <c r="T33" s="270"/>
      <c r="U33" s="270"/>
      <c r="V33" s="270"/>
      <c r="W33" s="270"/>
      <c r="X33" s="270"/>
      <c r="Y33" s="270"/>
      <c r="Z33" s="270"/>
      <c r="AA33" s="219"/>
      <c r="AB33" s="219"/>
      <c r="AC33" s="219"/>
      <c r="AD33" s="219"/>
      <c r="AE33" s="219"/>
      <c r="AF33" s="219"/>
      <c r="AG33" s="219"/>
      <c r="AH33" s="219"/>
      <c r="AI33" s="219"/>
      <c r="AJ33" s="220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04"/>
    </row>
    <row r="34" spans="1:70" ht="345" customHeight="1">
      <c r="A34" s="218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305" t="s">
        <v>327</v>
      </c>
      <c r="M34" s="340"/>
      <c r="N34" s="652"/>
      <c r="O34" s="252">
        <f>70+140+239.96+50+70+70+1202.44+70+70+70+199.87+82.2+383.88+15+300+1145.16+1069.98+328.37+2.99+58.48+83.63+252.63+500+114.13+120.04+92.5+29.7+44+94+24.12+21+2+30+10+15.7+17+24.55+25+38.5+45+65.83+5+19.96+4.5</f>
        <v>7317.119999999999</v>
      </c>
      <c r="P34" s="670"/>
      <c r="Q34" s="342"/>
    </row>
    <row r="35" spans="1:70" s="244" customFormat="1" hidden="1">
      <c r="A35" s="218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305"/>
      <c r="M35" s="340"/>
      <c r="N35" s="652"/>
      <c r="O35" s="252"/>
      <c r="P35" s="342"/>
      <c r="Q35" s="343"/>
    </row>
    <row r="36" spans="1:70" s="244" customFormat="1" hidden="1">
      <c r="A36" s="218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24"/>
      <c r="M36" s="340"/>
      <c r="N36" s="652"/>
      <c r="O36" s="252"/>
      <c r="P36" s="342"/>
      <c r="Q36" s="343"/>
    </row>
    <row r="37" spans="1:70" s="244" customFormat="1" hidden="1">
      <c r="A37" s="218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24"/>
      <c r="M37" s="340"/>
      <c r="N37" s="652"/>
      <c r="O37" s="252"/>
      <c r="P37" s="342"/>
      <c r="Q37" s="343"/>
    </row>
    <row r="38" spans="1:70" s="244" customFormat="1" ht="100.5" customHeight="1">
      <c r="A38" s="218"/>
      <c r="B38" s="12"/>
      <c r="C38" s="175"/>
      <c r="D38" s="175"/>
      <c r="E38" s="175"/>
      <c r="F38" s="176"/>
      <c r="G38" s="175"/>
      <c r="H38" s="175"/>
      <c r="I38" s="175"/>
      <c r="J38" s="176"/>
      <c r="K38" s="133"/>
      <c r="L38" s="24" t="s">
        <v>288</v>
      </c>
      <c r="M38" s="340">
        <v>27288.2</v>
      </c>
      <c r="N38" s="652"/>
      <c r="O38" s="252">
        <v>36195.71</v>
      </c>
      <c r="P38" s="342"/>
      <c r="Q38" s="343"/>
    </row>
    <row r="39" spans="1:70" s="244" customFormat="1" ht="102" customHeight="1">
      <c r="A39" s="218"/>
      <c r="B39" s="12"/>
      <c r="C39" s="175"/>
      <c r="D39" s="175"/>
      <c r="E39" s="175"/>
      <c r="F39" s="176"/>
      <c r="G39" s="175"/>
      <c r="H39" s="175"/>
      <c r="I39" s="175"/>
      <c r="J39" s="176"/>
      <c r="K39" s="133"/>
      <c r="L39" s="24" t="s">
        <v>289</v>
      </c>
      <c r="M39" s="340">
        <f>410725.05+98.83+2757.79+5476.13+2317.14</f>
        <v>421374.94</v>
      </c>
      <c r="N39" s="652"/>
      <c r="O39" s="252">
        <f>589563.22+167.52+4565.22+6898.8+2533.18</f>
        <v>603727.94000000006</v>
      </c>
      <c r="P39" s="342"/>
      <c r="Q39" s="343"/>
    </row>
    <row r="40" spans="1:70" s="244" customFormat="1" ht="54.75" customHeight="1">
      <c r="A40" s="218"/>
      <c r="B40" s="12"/>
      <c r="C40" s="175"/>
      <c r="D40" s="175"/>
      <c r="E40" s="175"/>
      <c r="F40" s="176"/>
      <c r="G40" s="175"/>
      <c r="H40" s="175"/>
      <c r="I40" s="175"/>
      <c r="J40" s="176"/>
      <c r="K40" s="133"/>
      <c r="L40" s="356" t="s">
        <v>290</v>
      </c>
      <c r="M40" s="340">
        <f>101.4+4971.2</f>
        <v>5072.5999999999995</v>
      </c>
      <c r="N40" s="652"/>
      <c r="O40" s="252">
        <f>7450.58+152.05</f>
        <v>7602.63</v>
      </c>
      <c r="P40" s="342"/>
      <c r="Q40" s="343"/>
    </row>
    <row r="41" spans="1:70" s="244" customFormat="1" ht="132.75" customHeight="1">
      <c r="A41" s="218"/>
      <c r="B41" s="12"/>
      <c r="C41" s="175"/>
      <c r="D41" s="175"/>
      <c r="E41" s="175"/>
      <c r="F41" s="176"/>
      <c r="G41" s="175"/>
      <c r="H41" s="175"/>
      <c r="I41" s="175"/>
      <c r="J41" s="176"/>
      <c r="K41" s="133"/>
      <c r="L41" s="24" t="s">
        <v>326</v>
      </c>
      <c r="M41" s="340">
        <f>9324.13+190.3</f>
        <v>9514.4299999999985</v>
      </c>
      <c r="N41" s="652"/>
      <c r="O41" s="252">
        <f>12349.54+252.03</f>
        <v>12601.570000000002</v>
      </c>
      <c r="P41" s="342"/>
      <c r="Q41" s="343"/>
    </row>
    <row r="42" spans="1:70" s="244" customFormat="1" ht="36" customHeight="1">
      <c r="A42" s="218"/>
      <c r="B42" s="12"/>
      <c r="C42" s="175"/>
      <c r="D42" s="175"/>
      <c r="E42" s="175"/>
      <c r="F42" s="176"/>
      <c r="G42" s="175"/>
      <c r="H42" s="175"/>
      <c r="I42" s="175"/>
      <c r="J42" s="176"/>
      <c r="K42" s="133"/>
      <c r="L42" s="357" t="s">
        <v>291</v>
      </c>
      <c r="M42" s="340">
        <f>1164.9+3143.7</f>
        <v>4308.6000000000004</v>
      </c>
      <c r="N42" s="652"/>
      <c r="O42" s="252">
        <f>1951.77+4551.01</f>
        <v>6502.7800000000007</v>
      </c>
      <c r="P42" s="342"/>
      <c r="Q42" s="343"/>
    </row>
    <row r="43" spans="1:70" s="244" customFormat="1" ht="31.5" customHeight="1">
      <c r="A43" s="218"/>
      <c r="B43" s="12"/>
      <c r="C43" s="175"/>
      <c r="D43" s="175"/>
      <c r="E43" s="175"/>
      <c r="F43" s="176"/>
      <c r="G43" s="175"/>
      <c r="H43" s="175"/>
      <c r="I43" s="175"/>
      <c r="J43" s="176"/>
      <c r="K43" s="133"/>
      <c r="L43" s="357" t="s">
        <v>292</v>
      </c>
      <c r="M43" s="340">
        <v>4.08</v>
      </c>
      <c r="N43" s="652"/>
      <c r="O43" s="252">
        <f>4+0.08</f>
        <v>4.08</v>
      </c>
      <c r="P43" s="342"/>
      <c r="Q43" s="343"/>
    </row>
    <row r="44" spans="1:70" s="244" customFormat="1" ht="55.5" customHeight="1">
      <c r="A44" s="218"/>
      <c r="B44" s="12"/>
      <c r="C44" s="175"/>
      <c r="D44" s="175"/>
      <c r="E44" s="175"/>
      <c r="F44" s="176"/>
      <c r="G44" s="175"/>
      <c r="H44" s="175"/>
      <c r="I44" s="175"/>
      <c r="J44" s="176"/>
      <c r="K44" s="133"/>
      <c r="L44" s="358" t="s">
        <v>293</v>
      </c>
      <c r="M44" s="340">
        <f>207.75+2056.75+18510.7</f>
        <v>20775.2</v>
      </c>
      <c r="N44" s="652"/>
      <c r="O44" s="252">
        <f>342.14+3387.23+30485.03</f>
        <v>34214.400000000001</v>
      </c>
      <c r="P44" s="342"/>
      <c r="Q44" s="343"/>
    </row>
    <row r="45" spans="1:70" s="244" customFormat="1" ht="50.25" hidden="1" customHeight="1">
      <c r="A45" s="218"/>
      <c r="B45" s="12"/>
      <c r="C45" s="175"/>
      <c r="D45" s="175"/>
      <c r="E45" s="175"/>
      <c r="F45" s="176"/>
      <c r="G45" s="175"/>
      <c r="H45" s="175"/>
      <c r="I45" s="175"/>
      <c r="J45" s="176"/>
      <c r="K45" s="133"/>
      <c r="L45" s="24"/>
      <c r="M45" s="340"/>
      <c r="N45" s="652"/>
      <c r="O45" s="252"/>
      <c r="P45" s="342"/>
      <c r="Q45" s="343"/>
    </row>
    <row r="46" spans="1:70" s="244" customFormat="1" ht="105" customHeight="1">
      <c r="A46" s="22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24" t="s">
        <v>332</v>
      </c>
      <c r="M46" s="274">
        <f>7699.24+41.88+3+324.29+235.47+3.9+105.98+122.09</f>
        <v>8535.8499999999985</v>
      </c>
      <c r="N46" s="652"/>
      <c r="O46" s="252">
        <f>10768.9+61.62+3+333.25+435.48+7.21+194.52+320.8</f>
        <v>12124.779999999999</v>
      </c>
      <c r="P46" s="342"/>
      <c r="Q46" s="343"/>
    </row>
    <row r="47" spans="1:70" s="244" customFormat="1" ht="105" customHeight="1">
      <c r="A47" s="22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24" t="s">
        <v>334</v>
      </c>
      <c r="M47" s="274">
        <f>20902.69+77.99+6.7+408.7+893.73+1030.36+7.39+187.57+368.06</f>
        <v>23883.190000000002</v>
      </c>
      <c r="N47" s="652"/>
      <c r="O47" s="252">
        <f>28540.41+114.57+6.7+529.71+1096.44+1301.77+8.96+185.4+539.86</f>
        <v>32323.82</v>
      </c>
      <c r="P47" s="342"/>
      <c r="Q47" s="343"/>
    </row>
    <row r="48" spans="1:70" s="244" customFormat="1" ht="82.5" customHeight="1">
      <c r="A48" s="221"/>
      <c r="B48" s="12"/>
      <c r="C48" s="175"/>
      <c r="D48" s="175"/>
      <c r="E48" s="175"/>
      <c r="F48" s="176"/>
      <c r="G48" s="175"/>
      <c r="H48" s="175"/>
      <c r="I48" s="175"/>
      <c r="J48" s="176"/>
      <c r="K48" s="133"/>
      <c r="L48" s="24" t="s">
        <v>333</v>
      </c>
      <c r="M48" s="340">
        <f>29.75+247.5</f>
        <v>277.25</v>
      </c>
      <c r="N48" s="652"/>
      <c r="O48" s="252">
        <f>600.9+1.33+91.06+29.8+308.2+5.81</f>
        <v>1037.0999999999999</v>
      </c>
      <c r="P48" s="342"/>
      <c r="Q48" s="343"/>
    </row>
    <row r="49" spans="1:18" s="244" customFormat="1" ht="96.75" customHeight="1">
      <c r="A49" s="221"/>
      <c r="B49" s="12"/>
      <c r="C49" s="175"/>
      <c r="D49" s="175"/>
      <c r="E49" s="175"/>
      <c r="F49" s="176"/>
      <c r="G49" s="175"/>
      <c r="H49" s="175"/>
      <c r="I49" s="175"/>
      <c r="J49" s="176"/>
      <c r="K49" s="133"/>
      <c r="L49" s="292" t="s">
        <v>335</v>
      </c>
      <c r="M49" s="340">
        <f>1957.6+1957.6</f>
        <v>3915.2</v>
      </c>
      <c r="N49" s="278"/>
      <c r="O49" s="252">
        <f>2217.3+2217.3</f>
        <v>4434.6000000000004</v>
      </c>
      <c r="P49" s="342"/>
      <c r="Q49" s="343"/>
    </row>
    <row r="50" spans="1:18" s="244" customFormat="1" ht="134.25" customHeight="1">
      <c r="A50" s="221"/>
      <c r="B50" s="294"/>
      <c r="C50" s="306"/>
      <c r="D50" s="175"/>
      <c r="E50" s="359"/>
      <c r="F50" s="176"/>
      <c r="G50" s="175"/>
      <c r="H50" s="175"/>
      <c r="I50" s="175"/>
      <c r="J50" s="176"/>
      <c r="K50" s="133"/>
      <c r="L50" s="292" t="s">
        <v>345</v>
      </c>
      <c r="M50" s="340">
        <f>588+189.73+213.53+31.94</f>
        <v>1023.2</v>
      </c>
      <c r="N50" s="278"/>
      <c r="O50" s="252">
        <f>778.33+713.99+189.73+213.53+31.94+16.01+56.47</f>
        <v>2000.0000000000002</v>
      </c>
      <c r="P50" s="342"/>
      <c r="Q50" s="343"/>
    </row>
    <row r="51" spans="1:18" s="244" customFormat="1" ht="119.25" customHeight="1">
      <c r="A51" s="221"/>
      <c r="B51" s="294"/>
      <c r="C51" s="306"/>
      <c r="D51" s="175"/>
      <c r="E51" s="359"/>
      <c r="F51" s="176"/>
      <c r="G51" s="175"/>
      <c r="H51" s="175"/>
      <c r="I51" s="175"/>
      <c r="J51" s="176"/>
      <c r="K51" s="133"/>
      <c r="L51" s="292" t="s">
        <v>346</v>
      </c>
      <c r="M51" s="340">
        <f>12+3.9+4.4+0.7</f>
        <v>21</v>
      </c>
      <c r="N51" s="278"/>
      <c r="O51" s="252">
        <f>15.88+14.58+3.87+4.36+0.65+0.33+1.15</f>
        <v>40.819999999999993</v>
      </c>
      <c r="P51" s="342"/>
      <c r="Q51" s="343"/>
    </row>
    <row r="52" spans="1:18" s="244" customFormat="1" ht="187.5" customHeight="1">
      <c r="A52" s="221"/>
      <c r="B52" s="294"/>
      <c r="C52" s="306"/>
      <c r="D52" s="175"/>
      <c r="E52" s="359"/>
      <c r="F52" s="176"/>
      <c r="G52" s="175"/>
      <c r="H52" s="175"/>
      <c r="I52" s="175"/>
      <c r="J52" s="176"/>
      <c r="K52" s="133"/>
      <c r="L52" s="292" t="s">
        <v>295</v>
      </c>
      <c r="M52" s="340">
        <f>2191.07+2191.07+2191.07+2191.07+864.75+257.6+244.36+251.7+231.78+762.78+776.04+768.71</f>
        <v>12922.000000000004</v>
      </c>
      <c r="N52" s="278"/>
      <c r="O52" s="252">
        <f>3751.88+3751.88+3751.88+3751.88+1397.04+257.63+244.36+251.7+231.78+762.78+776.04+768.71+788.63</f>
        <v>20486.190000000002</v>
      </c>
      <c r="P52" s="342"/>
      <c r="Q52" s="343"/>
    </row>
    <row r="53" spans="1:18" s="244" customFormat="1" ht="98.25" customHeight="1">
      <c r="A53" s="221"/>
      <c r="B53" s="294"/>
      <c r="C53" s="306"/>
      <c r="D53" s="175"/>
      <c r="E53" s="359"/>
      <c r="F53" s="176"/>
      <c r="G53" s="175"/>
      <c r="H53" s="175"/>
      <c r="I53" s="175"/>
      <c r="J53" s="176"/>
      <c r="K53" s="293"/>
      <c r="L53" s="356" t="s">
        <v>221</v>
      </c>
      <c r="M53" s="302">
        <f>254.75+745.25</f>
        <v>1000</v>
      </c>
      <c r="N53" s="278"/>
      <c r="O53" s="252">
        <f>254.75+745.25</f>
        <v>1000</v>
      </c>
      <c r="P53" s="342"/>
      <c r="Q53" s="343"/>
    </row>
    <row r="54" spans="1:18" s="244" customFormat="1" ht="67.5" customHeight="1">
      <c r="A54" s="221"/>
      <c r="B54" s="294"/>
      <c r="C54" s="306"/>
      <c r="D54" s="175"/>
      <c r="E54" s="359"/>
      <c r="F54" s="176"/>
      <c r="G54" s="175"/>
      <c r="H54" s="175"/>
      <c r="I54" s="175"/>
      <c r="J54" s="176"/>
      <c r="K54" s="293"/>
      <c r="L54" s="356" t="s">
        <v>325</v>
      </c>
      <c r="M54" s="302">
        <f>5.2+15.21</f>
        <v>20.41</v>
      </c>
      <c r="N54" s="278"/>
      <c r="O54" s="252">
        <f>5.2+15.21</f>
        <v>20.41</v>
      </c>
      <c r="P54" s="342"/>
      <c r="Q54" s="343"/>
    </row>
    <row r="55" spans="1:18" s="244" customFormat="1" ht="109.5" customHeight="1">
      <c r="A55" s="221"/>
      <c r="B55" s="294"/>
      <c r="C55" s="306"/>
      <c r="D55" s="175"/>
      <c r="E55" s="359"/>
      <c r="F55" s="176"/>
      <c r="G55" s="175"/>
      <c r="H55" s="175"/>
      <c r="I55" s="175"/>
      <c r="J55" s="176"/>
      <c r="K55" s="293"/>
      <c r="L55" s="356" t="s">
        <v>296</v>
      </c>
      <c r="M55" s="302">
        <f>2290.4+964.34+42.6</f>
        <v>3297.34</v>
      </c>
      <c r="N55" s="278"/>
      <c r="O55" s="252">
        <f>2290.39+1023.13+43.78</f>
        <v>3357.3</v>
      </c>
      <c r="P55" s="342"/>
      <c r="Q55" s="343"/>
    </row>
    <row r="56" spans="1:18" s="244" customFormat="1" ht="143.25" customHeight="1">
      <c r="A56" s="221"/>
      <c r="B56" s="12"/>
      <c r="C56" s="175"/>
      <c r="D56" s="175"/>
      <c r="E56" s="175"/>
      <c r="F56" s="176"/>
      <c r="G56" s="175"/>
      <c r="H56" s="175"/>
      <c r="I56" s="175"/>
      <c r="J56" s="176"/>
      <c r="K56" s="293"/>
      <c r="L56" s="292" t="s">
        <v>336</v>
      </c>
      <c r="M56" s="277">
        <f>94.7+94.7+94.7+284.1+94.7+94.7+94.7+94.7</f>
        <v>947.00000000000023</v>
      </c>
      <c r="N56" s="279"/>
      <c r="O56" s="252">
        <f>94.7+94.7+94.7+284.1+94.7+94.7+94.7+94.7</f>
        <v>947.00000000000023</v>
      </c>
      <c r="P56" s="342"/>
      <c r="Q56" s="343"/>
    </row>
    <row r="57" spans="1:18" s="244" customFormat="1" ht="98.25" customHeight="1">
      <c r="A57" s="221"/>
      <c r="B57" s="12"/>
      <c r="C57" s="175"/>
      <c r="D57" s="175"/>
      <c r="E57" s="175"/>
      <c r="F57" s="176"/>
      <c r="G57" s="175"/>
      <c r="H57" s="175"/>
      <c r="I57" s="175"/>
      <c r="J57" s="176"/>
      <c r="K57" s="293"/>
      <c r="L57" s="223" t="s">
        <v>297</v>
      </c>
      <c r="M57" s="302">
        <f>32.21+0.33</f>
        <v>32.54</v>
      </c>
      <c r="N57" s="278"/>
      <c r="O57" s="252">
        <f>320.28+3.23</f>
        <v>323.51</v>
      </c>
      <c r="P57" s="342"/>
      <c r="Q57" s="343"/>
    </row>
    <row r="58" spans="1:18" s="244" customFormat="1" ht="103.5" customHeight="1">
      <c r="A58" s="216" t="s">
        <v>59</v>
      </c>
      <c r="B58" s="8" t="s">
        <v>1</v>
      </c>
      <c r="C58" s="383">
        <v>76619</v>
      </c>
      <c r="D58" s="364"/>
      <c r="E58" s="364"/>
      <c r="F58" s="363">
        <f>E58+D58+C58</f>
        <v>76619</v>
      </c>
      <c r="G58" s="364">
        <v>75394.600000000006</v>
      </c>
      <c r="H58" s="364"/>
      <c r="I58" s="364"/>
      <c r="J58" s="363">
        <f>I58+H58+G58</f>
        <v>75394.600000000006</v>
      </c>
      <c r="K58" s="377">
        <f>J58*100/F58</f>
        <v>98.401962959579222</v>
      </c>
      <c r="L58" s="12" t="s">
        <v>281</v>
      </c>
      <c r="M58" s="353">
        <f>10247+34.2+199.5+108+68.6+7.2+69.2</f>
        <v>10733.700000000003</v>
      </c>
      <c r="N58" s="651">
        <f>M58+M59+M60+M63+M64+M62</f>
        <v>49262</v>
      </c>
      <c r="O58" s="287">
        <f>14839.58+52.96+259.32+193.83+81.02+7.84+95.59</f>
        <v>15530.14</v>
      </c>
      <c r="P58" s="636">
        <f>O58+O59+O60+O62+O63+O64</f>
        <v>75394.599999999991</v>
      </c>
      <c r="Q58" s="329"/>
      <c r="R58" s="270"/>
    </row>
    <row r="59" spans="1:18" s="244" customFormat="1" ht="102.75" customHeight="1">
      <c r="A59" s="217"/>
      <c r="B59" s="12"/>
      <c r="C59" s="172"/>
      <c r="D59" s="172"/>
      <c r="E59" s="172"/>
      <c r="F59" s="171"/>
      <c r="G59" s="172"/>
      <c r="H59" s="172"/>
      <c r="I59" s="172"/>
      <c r="J59" s="171"/>
      <c r="K59" s="349"/>
      <c r="L59" s="12" t="s">
        <v>280</v>
      </c>
      <c r="M59" s="340">
        <f>11318.8+15.4+587.8+66.4+55.5+0.6+152</f>
        <v>12196.499999999998</v>
      </c>
      <c r="N59" s="652"/>
      <c r="O59" s="340">
        <f>15408+17.92+680.29+87.94+149.57+0.6+389.53+22.15+1125.9</f>
        <v>17881.900000000001</v>
      </c>
      <c r="P59" s="637"/>
      <c r="Q59" s="329"/>
      <c r="R59" s="270"/>
    </row>
    <row r="60" spans="1:18" s="244" customFormat="1" ht="99" customHeight="1">
      <c r="A60" s="217"/>
      <c r="B60" s="12"/>
      <c r="C60" s="172"/>
      <c r="D60" s="172"/>
      <c r="E60" s="172"/>
      <c r="F60" s="171"/>
      <c r="G60" s="172"/>
      <c r="H60" s="172"/>
      <c r="I60" s="172"/>
      <c r="J60" s="171"/>
      <c r="K60" s="349"/>
      <c r="L60" s="12" t="s">
        <v>279</v>
      </c>
      <c r="M60" s="340">
        <f>19359.5+18.3+691.4+174.5+655.2+0.1+0.4+353.6+42</f>
        <v>21295</v>
      </c>
      <c r="N60" s="652"/>
      <c r="O60" s="340">
        <f>28474.84+27.26+880.59+337.67+770.05+128.51+912.06+793.87+1837.17</f>
        <v>34162.019999999997</v>
      </c>
      <c r="P60" s="637"/>
      <c r="Q60" s="329"/>
      <c r="R60" s="270"/>
    </row>
    <row r="61" spans="1:18" s="244" customFormat="1" ht="42" hidden="1" customHeight="1">
      <c r="A61" s="217"/>
      <c r="B61" s="12"/>
      <c r="C61" s="172"/>
      <c r="D61" s="172"/>
      <c r="E61" s="172"/>
      <c r="F61" s="171"/>
      <c r="G61" s="172"/>
      <c r="H61" s="172"/>
      <c r="I61" s="172"/>
      <c r="J61" s="171"/>
      <c r="K61" s="349"/>
      <c r="L61" s="12" t="s">
        <v>94</v>
      </c>
      <c r="M61" s="340"/>
      <c r="N61" s="652"/>
      <c r="O61" s="340"/>
      <c r="P61" s="637"/>
      <c r="Q61" s="343"/>
    </row>
    <row r="62" spans="1:18" s="244" customFormat="1" ht="114.75" customHeight="1">
      <c r="A62" s="221"/>
      <c r="B62" s="12"/>
      <c r="C62" s="172"/>
      <c r="D62" s="172"/>
      <c r="E62" s="172"/>
      <c r="F62" s="171"/>
      <c r="G62" s="172"/>
      <c r="H62" s="172"/>
      <c r="I62" s="172"/>
      <c r="J62" s="171"/>
      <c r="K62" s="349"/>
      <c r="L62" s="12" t="s">
        <v>324</v>
      </c>
      <c r="M62" s="340">
        <f>566.1+8.5+39.9</f>
        <v>614.5</v>
      </c>
      <c r="N62" s="652"/>
      <c r="O62" s="340">
        <f>566.2+8.5+50+2.5</f>
        <v>627.20000000000005</v>
      </c>
      <c r="P62" s="637"/>
      <c r="Q62" s="343"/>
    </row>
    <row r="63" spans="1:18" s="244" customFormat="1" ht="108.75" customHeight="1">
      <c r="A63" s="221"/>
      <c r="B63" s="12"/>
      <c r="C63" s="172"/>
      <c r="D63" s="172"/>
      <c r="E63" s="172"/>
      <c r="F63" s="171"/>
      <c r="G63" s="172"/>
      <c r="H63" s="172"/>
      <c r="I63" s="172"/>
      <c r="J63" s="171"/>
      <c r="K63" s="349"/>
      <c r="L63" s="12" t="s">
        <v>278</v>
      </c>
      <c r="M63" s="340">
        <f>47+45+154.4</f>
        <v>246.4</v>
      </c>
      <c r="N63" s="652"/>
      <c r="O63" s="340">
        <f>81.19+45+214.35</f>
        <v>340.53999999999996</v>
      </c>
      <c r="P63" s="637"/>
      <c r="Q63" s="343"/>
    </row>
    <row r="64" spans="1:18" s="244" customFormat="1" ht="129" customHeight="1">
      <c r="A64" s="222"/>
      <c r="B64" s="148"/>
      <c r="C64" s="367"/>
      <c r="D64" s="360"/>
      <c r="E64" s="172"/>
      <c r="F64" s="171"/>
      <c r="G64" s="172"/>
      <c r="H64" s="172"/>
      <c r="I64" s="172"/>
      <c r="J64" s="171"/>
      <c r="K64" s="350"/>
      <c r="L64" s="12" t="s">
        <v>323</v>
      </c>
      <c r="M64" s="273">
        <v>4175.8999999999996</v>
      </c>
      <c r="N64" s="653"/>
      <c r="O64" s="273">
        <f>6597.4+6.5+5.4+188.6+54.9</f>
        <v>6852.7999999999993</v>
      </c>
      <c r="P64" s="638"/>
      <c r="Q64" s="343"/>
    </row>
    <row r="65" spans="1:17" s="244" customFormat="1" ht="327.75" customHeight="1">
      <c r="A65" s="224" t="s">
        <v>60</v>
      </c>
      <c r="B65" s="113" t="s">
        <v>36</v>
      </c>
      <c r="C65" s="103">
        <v>279</v>
      </c>
      <c r="D65" s="361"/>
      <c r="E65" s="103"/>
      <c r="F65" s="104">
        <f>E65+D65+C65</f>
        <v>279</v>
      </c>
      <c r="G65" s="103">
        <v>259.2</v>
      </c>
      <c r="H65" s="103"/>
      <c r="I65" s="103"/>
      <c r="J65" s="104">
        <f>I65+H65+G65</f>
        <v>259.2</v>
      </c>
      <c r="K65" s="102">
        <f>J65*100/F65</f>
        <v>92.903225806451616</v>
      </c>
      <c r="L65" s="8" t="s">
        <v>330</v>
      </c>
      <c r="M65" s="301">
        <f>1.1+1+15.3+25.9+33.1+20+7.5+8+21.3+39.4+0.5+8.9</f>
        <v>182.00000000000003</v>
      </c>
      <c r="N65" s="219"/>
      <c r="O65" s="252">
        <f>1.1+1+15.3+25.9+33.1+20+7.5+8+21.3+67.8+0.5+3+36+5.28+13.42</f>
        <v>259.2</v>
      </c>
      <c r="P65" s="342"/>
      <c r="Q65" s="343"/>
    </row>
    <row r="66" spans="1:17" s="244" customFormat="1" ht="327.75" hidden="1" customHeight="1">
      <c r="A66" s="216"/>
      <c r="B66" s="8"/>
      <c r="C66" s="364"/>
      <c r="D66" s="362"/>
      <c r="E66" s="364"/>
      <c r="F66" s="363"/>
      <c r="G66" s="364"/>
      <c r="H66" s="364"/>
      <c r="I66" s="364"/>
      <c r="J66" s="363"/>
      <c r="K66" s="377"/>
      <c r="L66" s="8"/>
      <c r="M66" s="252"/>
      <c r="N66" s="219"/>
      <c r="O66" s="252"/>
      <c r="P66" s="342"/>
      <c r="Q66" s="343"/>
    </row>
    <row r="67" spans="1:17" s="244" customFormat="1" ht="327.75" hidden="1" customHeight="1">
      <c r="A67" s="216"/>
      <c r="B67" s="8"/>
      <c r="C67" s="364"/>
      <c r="D67" s="362"/>
      <c r="E67" s="364"/>
      <c r="F67" s="363"/>
      <c r="G67" s="364"/>
      <c r="H67" s="364"/>
      <c r="I67" s="364"/>
      <c r="J67" s="363"/>
      <c r="K67" s="377"/>
      <c r="L67" s="8"/>
      <c r="M67" s="252"/>
      <c r="N67" s="219"/>
      <c r="O67" s="252"/>
      <c r="P67" s="342"/>
      <c r="Q67" s="343"/>
    </row>
    <row r="68" spans="1:17" s="244" customFormat="1" ht="359.25" customHeight="1">
      <c r="A68" s="675" t="s">
        <v>28</v>
      </c>
      <c r="B68" s="604" t="s">
        <v>83</v>
      </c>
      <c r="C68" s="643">
        <v>5742.7</v>
      </c>
      <c r="D68" s="643">
        <v>387.3</v>
      </c>
      <c r="E68" s="677"/>
      <c r="F68" s="679">
        <f>E68+D68+C68</f>
        <v>6130</v>
      </c>
      <c r="G68" s="363">
        <f>5463.4+0.1</f>
        <v>5463.5</v>
      </c>
      <c r="H68" s="363">
        <v>387.3</v>
      </c>
      <c r="I68" s="363"/>
      <c r="J68" s="363">
        <f>I68+H68+G68</f>
        <v>5850.8</v>
      </c>
      <c r="K68" s="377">
        <f>J68*100/F68</f>
        <v>95.445350734094617</v>
      </c>
      <c r="L68" s="8" t="s">
        <v>260</v>
      </c>
      <c r="M68" s="275">
        <f>3822.7+32.8+14+40.9</f>
        <v>3910.4</v>
      </c>
      <c r="N68" s="237"/>
      <c r="O68" s="353">
        <f>5079.7+12+4.5+16.4+147.1+106.4+60.2+4.5+31.4+25.1+167.6</f>
        <v>5654.9</v>
      </c>
      <c r="P68" s="657">
        <f>O68+O69</f>
        <v>5850.7999999999993</v>
      </c>
      <c r="Q68" s="626">
        <f>J68-P68</f>
        <v>0</v>
      </c>
    </row>
    <row r="69" spans="1:17" s="244" customFormat="1" ht="126.75" customHeight="1">
      <c r="A69" s="676"/>
      <c r="B69" s="642"/>
      <c r="C69" s="644"/>
      <c r="D69" s="644"/>
      <c r="E69" s="678"/>
      <c r="F69" s="680"/>
      <c r="G69" s="366"/>
      <c r="H69" s="366"/>
      <c r="I69" s="366"/>
      <c r="J69" s="366"/>
      <c r="K69" s="350"/>
      <c r="L69" s="148" t="s">
        <v>224</v>
      </c>
      <c r="M69" s="275"/>
      <c r="N69" s="237"/>
      <c r="O69" s="273">
        <f>11.9+15+14+29+13+26+24+20+18+25</f>
        <v>195.9</v>
      </c>
      <c r="P69" s="658"/>
      <c r="Q69" s="661"/>
    </row>
    <row r="70" spans="1:17" s="244" customFormat="1" ht="56.25">
      <c r="A70" s="351" t="s">
        <v>29</v>
      </c>
      <c r="B70" s="258" t="s">
        <v>82</v>
      </c>
      <c r="C70" s="104">
        <f>C71+C82+C97+C102+C104</f>
        <v>115857.59999999999</v>
      </c>
      <c r="D70" s="104">
        <f t="shared" ref="D70:I70" si="1">D71+D82+D97+D102+D104</f>
        <v>1464.8</v>
      </c>
      <c r="E70" s="104">
        <f t="shared" si="1"/>
        <v>134.6</v>
      </c>
      <c r="F70" s="104">
        <f>F71+F82+F97+F102+F104</f>
        <v>117457</v>
      </c>
      <c r="G70" s="366">
        <f>G71+G82+G97+G102+G104</f>
        <v>111691.69999999998</v>
      </c>
      <c r="H70" s="366">
        <f>H71+H82+H97+H102+H104</f>
        <v>1464.7</v>
      </c>
      <c r="I70" s="366">
        <f t="shared" si="1"/>
        <v>134.6</v>
      </c>
      <c r="J70" s="387">
        <f>J71+J82+J97+J102+J104</f>
        <v>113290.99999999999</v>
      </c>
      <c r="K70" s="350">
        <f>J70*100/F70</f>
        <v>96.453170096290535</v>
      </c>
      <c r="L70" s="148"/>
      <c r="M70" s="252"/>
      <c r="N70" s="219"/>
      <c r="O70" s="252"/>
      <c r="P70" s="342"/>
      <c r="Q70" s="343"/>
    </row>
    <row r="71" spans="1:17" s="244" customFormat="1" ht="375" customHeight="1">
      <c r="A71" s="224" t="s">
        <v>61</v>
      </c>
      <c r="B71" s="226" t="s">
        <v>3</v>
      </c>
      <c r="C71" s="384">
        <v>30010.799999999999</v>
      </c>
      <c r="D71" s="103"/>
      <c r="E71" s="103"/>
      <c r="F71" s="104">
        <f>E71+D71+C71</f>
        <v>30010.799999999999</v>
      </c>
      <c r="G71" s="103">
        <v>28801.4</v>
      </c>
      <c r="H71" s="103"/>
      <c r="I71" s="103"/>
      <c r="J71" s="104">
        <f>I71+H71+G71</f>
        <v>28801.4</v>
      </c>
      <c r="K71" s="102">
        <f>J71*100/F71</f>
        <v>95.970117424393891</v>
      </c>
      <c r="L71" s="131" t="s">
        <v>265</v>
      </c>
      <c r="M71" s="353">
        <f>10320.32+2957.91+31.2+3.5+63.39+1642.51+215.53+267.9+11.3+196.35+19.45+199+0.4+12.96+0.25+137.03</f>
        <v>16079</v>
      </c>
      <c r="N71" s="651">
        <f>M71+M72+M74+M77+M78</f>
        <v>19100</v>
      </c>
      <c r="O71" s="252">
        <f>14740.4+4224.8+36.95+3.5+88.7+2115.96+334.1+404.6+88.8+251.64+153.58+226.23+0.6+34.5+0.25+367.73+1164.16</f>
        <v>24236.499999999996</v>
      </c>
      <c r="P71" s="354">
        <f>O71+O72+O74+O77+O78</f>
        <v>28801.399999999998</v>
      </c>
      <c r="Q71" s="343"/>
    </row>
    <row r="72" spans="1:17" s="244" customFormat="1" ht="393" customHeight="1">
      <c r="A72" s="217"/>
      <c r="B72" s="24"/>
      <c r="C72" s="172"/>
      <c r="D72" s="172"/>
      <c r="E72" s="172"/>
      <c r="F72" s="171"/>
      <c r="G72" s="172"/>
      <c r="H72" s="172"/>
      <c r="I72" s="172"/>
      <c r="J72" s="171"/>
      <c r="K72" s="349"/>
      <c r="L72" s="12" t="s">
        <v>322</v>
      </c>
      <c r="M72" s="673">
        <f>1.5+27.08+10+35.78+384.4+34.9+8.1+9.84+4.31+150+4+7+3+6.65+6.96+37.52+4.42+9.9+17.92+3+10.45+25+10.39</f>
        <v>812.11999999999989</v>
      </c>
      <c r="N72" s="652"/>
      <c r="O72" s="673">
        <f>1.5+27.08+10+35.78+384.43+34.9+8.1+9.84+4.31+150+4+7+3+6.65+6.96+37.52+4.42+9.93+17.92+3+10.45+25+5+10.03+7.95+8.8+3+3.41+27.36+6.98+64.79+4.9+20.63+8.16+38.56+49.1+5.98</f>
        <v>1066.4399999999996</v>
      </c>
      <c r="P72" s="342"/>
      <c r="Q72" s="345"/>
    </row>
    <row r="73" spans="1:17" s="244" customFormat="1" ht="379.5" customHeight="1">
      <c r="A73" s="217"/>
      <c r="B73" s="24"/>
      <c r="C73" s="172"/>
      <c r="D73" s="172"/>
      <c r="E73" s="172"/>
      <c r="F73" s="171"/>
      <c r="G73" s="172"/>
      <c r="H73" s="172"/>
      <c r="I73" s="172"/>
      <c r="J73" s="171"/>
      <c r="K73" s="349"/>
      <c r="L73" s="12" t="s">
        <v>266</v>
      </c>
      <c r="M73" s="673"/>
      <c r="N73" s="652"/>
      <c r="O73" s="673"/>
      <c r="P73" s="342"/>
      <c r="Q73" s="343"/>
    </row>
    <row r="74" spans="1:17" s="244" customFormat="1" ht="409.5" customHeight="1">
      <c r="A74" s="217"/>
      <c r="B74" s="24"/>
      <c r="C74" s="172"/>
      <c r="D74" s="172"/>
      <c r="E74" s="172"/>
      <c r="F74" s="171"/>
      <c r="G74" s="172"/>
      <c r="H74" s="172"/>
      <c r="I74" s="172"/>
      <c r="J74" s="171"/>
      <c r="K74" s="349"/>
      <c r="L74" s="674" t="s">
        <v>321</v>
      </c>
      <c r="M74" s="673">
        <f>1.5+19+4.75+9.74+9.94+3.6+43.83+180.03+138+45.67+129.1+15.81+16.84+6+11.3+10.56+10.39+7.28+73.51+2.5+5+751.26+2.85+70.25+142.64+30.53</f>
        <v>1741.8799999999994</v>
      </c>
      <c r="N74" s="652"/>
      <c r="O74" s="673">
        <f>1.53+19+4.75+9.74+9.94+3.6+43.83+180.03+138+45.67+129.1+15.81+16.84+6+11.3+10.56+10.39+7.28+73.51+2.5+5+751.26+2.78+70.25+142.64+46.42+25.44+14.99+48.4+10+12.28+20.33+9.97+97.03+39.82+38.73+70.25+26.32+28.3+77+15+59.71+281.76</f>
        <v>2633.0600000000004</v>
      </c>
      <c r="P74" s="342"/>
      <c r="Q74" s="343"/>
    </row>
    <row r="75" spans="1:17" s="244" customFormat="1" ht="222.75" customHeight="1">
      <c r="A75" s="217"/>
      <c r="B75" s="24"/>
      <c r="C75" s="172"/>
      <c r="D75" s="172"/>
      <c r="E75" s="172"/>
      <c r="F75" s="171"/>
      <c r="G75" s="172"/>
      <c r="H75" s="172"/>
      <c r="I75" s="172"/>
      <c r="J75" s="171"/>
      <c r="K75" s="349"/>
      <c r="L75" s="674"/>
      <c r="M75" s="673"/>
      <c r="N75" s="652"/>
      <c r="O75" s="673"/>
      <c r="P75" s="342"/>
      <c r="Q75" s="343"/>
    </row>
    <row r="76" spans="1:17" s="244" customFormat="1" ht="250.5" customHeight="1">
      <c r="A76" s="217"/>
      <c r="B76" s="24"/>
      <c r="C76" s="172"/>
      <c r="D76" s="172"/>
      <c r="E76" s="172"/>
      <c r="F76" s="171"/>
      <c r="G76" s="172"/>
      <c r="H76" s="172"/>
      <c r="I76" s="172"/>
      <c r="J76" s="171"/>
      <c r="K76" s="349"/>
      <c r="L76" s="368" t="s">
        <v>267</v>
      </c>
      <c r="M76" s="341"/>
      <c r="N76" s="652"/>
      <c r="O76" s="673"/>
      <c r="P76" s="342"/>
      <c r="Q76" s="343"/>
    </row>
    <row r="77" spans="1:17" s="244" customFormat="1" ht="82.5" customHeight="1">
      <c r="A77" s="217"/>
      <c r="B77" s="24"/>
      <c r="C77" s="172"/>
      <c r="D77" s="172"/>
      <c r="E77" s="172"/>
      <c r="F77" s="171"/>
      <c r="G77" s="172"/>
      <c r="H77" s="172"/>
      <c r="I77" s="172"/>
      <c r="J77" s="171"/>
      <c r="K77" s="349"/>
      <c r="L77" s="369" t="s">
        <v>268</v>
      </c>
      <c r="M77" s="340">
        <f>89.1+121.9</f>
        <v>211</v>
      </c>
      <c r="N77" s="652"/>
      <c r="O77" s="252">
        <f>89.1+121.95+86.35</f>
        <v>297.39999999999998</v>
      </c>
      <c r="P77" s="342"/>
      <c r="Q77" s="343"/>
    </row>
    <row r="78" spans="1:17" s="244" customFormat="1" ht="188.25" customHeight="1">
      <c r="A78" s="217"/>
      <c r="B78" s="24"/>
      <c r="C78" s="172"/>
      <c r="D78" s="172"/>
      <c r="E78" s="172"/>
      <c r="F78" s="171"/>
      <c r="G78" s="172"/>
      <c r="H78" s="172"/>
      <c r="I78" s="172"/>
      <c r="J78" s="171"/>
      <c r="K78" s="349"/>
      <c r="L78" s="12" t="s">
        <v>269</v>
      </c>
      <c r="M78" s="273">
        <f>31.7+41.6+149.7+33</f>
        <v>256</v>
      </c>
      <c r="N78" s="653"/>
      <c r="O78" s="301">
        <f>31.7+41.58+149.67+33+23.3+146.25+37.5+105</f>
        <v>568</v>
      </c>
      <c r="P78" s="342"/>
      <c r="Q78" s="343"/>
    </row>
    <row r="79" spans="1:17" s="244" customFormat="1" ht="81.75" hidden="1" customHeight="1">
      <c r="A79" s="217"/>
      <c r="B79" s="24"/>
      <c r="C79" s="172"/>
      <c r="D79" s="172"/>
      <c r="E79" s="172"/>
      <c r="F79" s="171"/>
      <c r="G79" s="172"/>
      <c r="H79" s="172"/>
      <c r="I79" s="172"/>
      <c r="J79" s="171"/>
      <c r="K79" s="349"/>
      <c r="L79" s="71"/>
      <c r="M79" s="252"/>
      <c r="N79" s="219"/>
      <c r="O79" s="252"/>
      <c r="P79" s="342"/>
      <c r="Q79" s="343"/>
    </row>
    <row r="80" spans="1:17" s="244" customFormat="1" ht="132.75" hidden="1" customHeight="1">
      <c r="A80" s="217"/>
      <c r="B80" s="24"/>
      <c r="C80" s="172"/>
      <c r="D80" s="172"/>
      <c r="E80" s="172"/>
      <c r="F80" s="171"/>
      <c r="G80" s="172"/>
      <c r="H80" s="172"/>
      <c r="I80" s="172"/>
      <c r="J80" s="171"/>
      <c r="K80" s="349"/>
      <c r="L80" s="71"/>
      <c r="M80" s="252"/>
      <c r="N80" s="219"/>
      <c r="O80" s="252"/>
      <c r="P80" s="342"/>
      <c r="Q80" s="343"/>
    </row>
    <row r="81" spans="1:17" s="244" customFormat="1" ht="191.25" hidden="1" customHeight="1">
      <c r="A81" s="213"/>
      <c r="B81" s="24"/>
      <c r="C81" s="172"/>
      <c r="D81" s="172"/>
      <c r="E81" s="172"/>
      <c r="F81" s="171"/>
      <c r="G81" s="172"/>
      <c r="H81" s="172"/>
      <c r="I81" s="172"/>
      <c r="J81" s="171"/>
      <c r="K81" s="349"/>
      <c r="L81" s="148"/>
      <c r="M81" s="252"/>
      <c r="N81" s="219"/>
      <c r="O81" s="252"/>
      <c r="P81" s="342"/>
      <c r="Q81" s="343"/>
    </row>
    <row r="82" spans="1:17" s="244" customFormat="1" ht="333.75" customHeight="1">
      <c r="A82" s="216" t="s">
        <v>62</v>
      </c>
      <c r="B82" s="97" t="s">
        <v>2</v>
      </c>
      <c r="C82" s="364">
        <v>48425.9</v>
      </c>
      <c r="D82" s="364">
        <v>1464.8</v>
      </c>
      <c r="E82" s="364">
        <v>134.6</v>
      </c>
      <c r="F82" s="363">
        <f>E82+D82+C82</f>
        <v>50025.3</v>
      </c>
      <c r="G82" s="364">
        <v>47681.5</v>
      </c>
      <c r="H82" s="386">
        <f>1464.8-0.1</f>
        <v>1464.7</v>
      </c>
      <c r="I82" s="364">
        <v>134.6</v>
      </c>
      <c r="J82" s="363">
        <f>G82+I82+H82</f>
        <v>49280.799999999996</v>
      </c>
      <c r="K82" s="377">
        <f>J82*100/F82</f>
        <v>98.5117530529552</v>
      </c>
      <c r="L82" s="123" t="s">
        <v>320</v>
      </c>
      <c r="M82" s="353">
        <f>17176.33+4967.85+144.27+916.2+165.06+77.19+95.4+9.45+79.96+1.72+229.17</f>
        <v>23862.600000000002</v>
      </c>
      <c r="N82" s="634">
        <f>SUM(M82:M95)</f>
        <v>33273.600000000006</v>
      </c>
      <c r="O82" s="326">
        <f>24231.26+6638.19+211.86+1153.74+277.03+296.9+266.5+327.64+59.42+24.75+9.1+107.79+1.72+2178.3</f>
        <v>35784.199999999997</v>
      </c>
      <c r="P82" s="354">
        <f>O82+O83+O85+O86+O87+O88+O89+O90+O91+O94+O95+O96</f>
        <v>49280.9</v>
      </c>
      <c r="Q82" s="354">
        <f>J82-P82</f>
        <v>-0.10000000000582077</v>
      </c>
    </row>
    <row r="83" spans="1:17" s="244" customFormat="1" ht="401.25" customHeight="1">
      <c r="A83" s="217"/>
      <c r="B83" s="225"/>
      <c r="C83" s="172"/>
      <c r="D83" s="172"/>
      <c r="E83" s="172"/>
      <c r="F83" s="171"/>
      <c r="G83" s="172"/>
      <c r="H83" s="172"/>
      <c r="I83" s="172"/>
      <c r="J83" s="171"/>
      <c r="K83" s="349"/>
      <c r="L83" s="124" t="s">
        <v>272</v>
      </c>
      <c r="M83" s="340">
        <f>26.5+31.34+50+9.37+30+524.58+0.83+234.4+7.3+91.5+93.9+77.8+4.08+4.59+200+39.99+35.96+14.71+11.97+117.28</f>
        <v>1606.1</v>
      </c>
      <c r="N83" s="635"/>
      <c r="O83" s="639">
        <f>26.5+31.34+50+9.37+30+524.58+0.83+234.4+7.3+91.5+93.9+77.8+4.08+4.59+200+39.99+35.96+14.71+11.97+43.54+144.38+108.2+34.1+61.8+37.03+1012.8+11.93+72.8</f>
        <v>3015.3999999999996</v>
      </c>
      <c r="P83" s="659"/>
      <c r="Q83" s="343"/>
    </row>
    <row r="84" spans="1:17" s="244" customFormat="1" ht="151.5" customHeight="1">
      <c r="A84" s="217"/>
      <c r="B84" s="225"/>
      <c r="C84" s="172"/>
      <c r="D84" s="172"/>
      <c r="E84" s="172"/>
      <c r="F84" s="171"/>
      <c r="G84" s="172"/>
      <c r="H84" s="172"/>
      <c r="I84" s="172"/>
      <c r="J84" s="171"/>
      <c r="K84" s="349"/>
      <c r="L84" s="368" t="s">
        <v>271</v>
      </c>
      <c r="M84" s="340"/>
      <c r="N84" s="635"/>
      <c r="O84" s="639"/>
      <c r="P84" s="659"/>
      <c r="Q84" s="343"/>
    </row>
    <row r="85" spans="1:17" s="244" customFormat="1" ht="70.5" customHeight="1">
      <c r="A85" s="217"/>
      <c r="B85" s="225"/>
      <c r="C85" s="172"/>
      <c r="D85" s="172"/>
      <c r="E85" s="172"/>
      <c r="F85" s="171"/>
      <c r="G85" s="172"/>
      <c r="H85" s="172"/>
      <c r="I85" s="172"/>
      <c r="J85" s="171"/>
      <c r="K85" s="349"/>
      <c r="L85" s="124" t="s">
        <v>273</v>
      </c>
      <c r="M85" s="340">
        <v>217.9</v>
      </c>
      <c r="N85" s="635"/>
      <c r="O85" s="252">
        <v>217.8</v>
      </c>
      <c r="P85" s="659"/>
      <c r="Q85" s="343"/>
    </row>
    <row r="86" spans="1:17" s="244" customFormat="1" ht="87.75" customHeight="1">
      <c r="A86" s="217"/>
      <c r="B86" s="225"/>
      <c r="C86" s="172"/>
      <c r="D86" s="172"/>
      <c r="E86" s="172"/>
      <c r="F86" s="171"/>
      <c r="G86" s="172"/>
      <c r="H86" s="172"/>
      <c r="I86" s="172"/>
      <c r="J86" s="171"/>
      <c r="K86" s="349"/>
      <c r="L86" s="370" t="s">
        <v>274</v>
      </c>
      <c r="M86" s="340">
        <f>97+873.41</f>
        <v>970.41</v>
      </c>
      <c r="N86" s="635"/>
      <c r="O86" s="252">
        <f>951.1+19.4</f>
        <v>970.5</v>
      </c>
      <c r="P86" s="659"/>
      <c r="Q86" s="343"/>
    </row>
    <row r="87" spans="1:17" s="244" customFormat="1" ht="78.75" customHeight="1">
      <c r="A87" s="217"/>
      <c r="B87" s="225"/>
      <c r="C87" s="172"/>
      <c r="D87" s="172"/>
      <c r="E87" s="172"/>
      <c r="F87" s="171"/>
      <c r="G87" s="172"/>
      <c r="H87" s="172"/>
      <c r="I87" s="172"/>
      <c r="J87" s="171"/>
      <c r="K87" s="349"/>
      <c r="L87" s="124" t="s">
        <v>275</v>
      </c>
      <c r="M87" s="340">
        <f>6.79+332.5</f>
        <v>339.29</v>
      </c>
      <c r="N87" s="635"/>
      <c r="O87" s="252">
        <f>10.2+498.7</f>
        <v>508.9</v>
      </c>
      <c r="P87" s="342"/>
      <c r="Q87" s="343"/>
    </row>
    <row r="88" spans="1:17" s="244" customFormat="1" ht="70.5" customHeight="1">
      <c r="A88" s="217"/>
      <c r="B88" s="225"/>
      <c r="C88" s="172"/>
      <c r="D88" s="172"/>
      <c r="E88" s="172"/>
      <c r="F88" s="171"/>
      <c r="G88" s="172"/>
      <c r="H88" s="172"/>
      <c r="I88" s="172"/>
      <c r="J88" s="171"/>
      <c r="K88" s="349"/>
      <c r="L88" s="370" t="s">
        <v>220</v>
      </c>
      <c r="M88" s="340">
        <f>3.1+15+134.6</f>
        <v>152.69999999999999</v>
      </c>
      <c r="N88" s="635"/>
      <c r="O88" s="252">
        <f>3.1+15+134.6</f>
        <v>152.69999999999999</v>
      </c>
      <c r="P88" s="342"/>
      <c r="Q88" s="343"/>
    </row>
    <row r="89" spans="1:17" s="244" customFormat="1" ht="381.75" customHeight="1">
      <c r="A89" s="217"/>
      <c r="B89" s="225"/>
      <c r="C89" s="172"/>
      <c r="D89" s="172"/>
      <c r="E89" s="172"/>
      <c r="F89" s="171"/>
      <c r="G89" s="172"/>
      <c r="H89" s="172"/>
      <c r="I89" s="172"/>
      <c r="J89" s="171"/>
      <c r="K89" s="349"/>
      <c r="L89" s="124" t="s">
        <v>319</v>
      </c>
      <c r="M89" s="340">
        <f>1835.14+527.19+26.66+204.47+102.85+134.34+113.93+144.55+19.09+28.5+12.89+0.09+4.37+24.43+1.13</f>
        <v>3179.6299999999997</v>
      </c>
      <c r="N89" s="635"/>
      <c r="O89" s="252">
        <f>2543.07+703.43+45.14+259.79+133.51+220.1+250.03+144.55+19.1+28.5+41.79+0.13+4.37+1.13+193.94+171.32</f>
        <v>4759.8999999999996</v>
      </c>
      <c r="P89" s="342"/>
      <c r="Q89" s="343"/>
    </row>
    <row r="90" spans="1:17" s="244" customFormat="1" ht="397.5" customHeight="1">
      <c r="A90" s="217"/>
      <c r="B90" s="225"/>
      <c r="C90" s="172"/>
      <c r="D90" s="172"/>
      <c r="E90" s="172"/>
      <c r="F90" s="171"/>
      <c r="G90" s="172"/>
      <c r="H90" s="172"/>
      <c r="I90" s="172"/>
      <c r="J90" s="171"/>
      <c r="K90" s="349"/>
      <c r="L90" s="124" t="s">
        <v>318</v>
      </c>
      <c r="M90" s="673">
        <f>3.46+13+2.4+20+4.5+11+50+5.1+10.5+2.1+500+220+32.66+8.85+25+2+22+22+5.4+24.6+8.4+17.03+27.61+1299.96+4.9+23.2+8+5.21+10.6+9.25+50.6</f>
        <v>2449.3299999999995</v>
      </c>
      <c r="N90" s="635"/>
      <c r="O90" s="252">
        <f>3.5+13+2.4+20+4.5+11+50+5.1+10.5+2.1+500+220+32.66+8.85+25+2+22+22+5.4</f>
        <v>960.01</v>
      </c>
      <c r="P90" s="659"/>
      <c r="Q90" s="345"/>
    </row>
    <row r="91" spans="1:17" s="244" customFormat="1" ht="406.5" customHeight="1">
      <c r="A91" s="217"/>
      <c r="B91" s="225"/>
      <c r="C91" s="172"/>
      <c r="D91" s="172"/>
      <c r="E91" s="172"/>
      <c r="F91" s="171"/>
      <c r="G91" s="172"/>
      <c r="H91" s="172"/>
      <c r="I91" s="172"/>
      <c r="J91" s="171"/>
      <c r="K91" s="349"/>
      <c r="L91" s="368" t="s">
        <v>347</v>
      </c>
      <c r="M91" s="673"/>
      <c r="N91" s="635"/>
      <c r="O91" s="673">
        <f>24.6+8.4+17.03+27.61+1299.96+4.9+23.2+8+5.21+10.6+9.25+119.42+9+14+50.25+264+258.32+9+6+5+19.3+3.44+1.5+2.5+2.56+0.04</f>
        <v>2203.0900000000006</v>
      </c>
      <c r="P91" s="659"/>
      <c r="Q91" s="346"/>
    </row>
    <row r="92" spans="1:17" s="244" customFormat="1" ht="27" hidden="1" customHeight="1">
      <c r="A92" s="217"/>
      <c r="B92" s="225"/>
      <c r="C92" s="172"/>
      <c r="D92" s="172"/>
      <c r="E92" s="172"/>
      <c r="F92" s="171"/>
      <c r="G92" s="172"/>
      <c r="H92" s="172"/>
      <c r="I92" s="172"/>
      <c r="J92" s="171"/>
      <c r="K92" s="349"/>
      <c r="L92" s="368"/>
      <c r="M92" s="340"/>
      <c r="N92" s="635"/>
      <c r="O92" s="673"/>
      <c r="P92" s="342"/>
      <c r="Q92" s="346"/>
    </row>
    <row r="93" spans="1:17" s="244" customFormat="1" ht="116.25" customHeight="1">
      <c r="A93" s="217"/>
      <c r="B93" s="225"/>
      <c r="C93" s="172"/>
      <c r="D93" s="172"/>
      <c r="E93" s="172"/>
      <c r="F93" s="171"/>
      <c r="G93" s="172"/>
      <c r="H93" s="172"/>
      <c r="I93" s="172"/>
      <c r="J93" s="171"/>
      <c r="K93" s="349"/>
      <c r="L93" s="368" t="s">
        <v>348</v>
      </c>
      <c r="M93" s="340"/>
      <c r="N93" s="635"/>
      <c r="O93" s="673"/>
      <c r="P93" s="342"/>
      <c r="Q93" s="346"/>
    </row>
    <row r="94" spans="1:17" s="244" customFormat="1" ht="131.25" customHeight="1">
      <c r="A94" s="217"/>
      <c r="B94" s="225"/>
      <c r="C94" s="172"/>
      <c r="D94" s="172"/>
      <c r="E94" s="172"/>
      <c r="F94" s="171"/>
      <c r="G94" s="172"/>
      <c r="H94" s="172"/>
      <c r="I94" s="172"/>
      <c r="J94" s="171"/>
      <c r="K94" s="349"/>
      <c r="L94" s="124" t="s">
        <v>276</v>
      </c>
      <c r="M94" s="273">
        <f>37.8+11.18+65+29.17+252.49</f>
        <v>395.64</v>
      </c>
      <c r="N94" s="649"/>
      <c r="O94" s="252">
        <f>75.6+22.3+72.1+29.2+252.5</f>
        <v>451.7</v>
      </c>
      <c r="P94" s="342"/>
      <c r="Q94" s="343"/>
    </row>
    <row r="95" spans="1:17" s="244" customFormat="1" ht="89.25" customHeight="1">
      <c r="A95" s="217"/>
      <c r="B95" s="227"/>
      <c r="C95" s="227"/>
      <c r="D95" s="227"/>
      <c r="E95" s="227"/>
      <c r="F95" s="227"/>
      <c r="G95" s="227"/>
      <c r="H95" s="227"/>
      <c r="I95" s="227"/>
      <c r="J95" s="227"/>
      <c r="K95" s="227"/>
      <c r="L95" s="124" t="s">
        <v>277</v>
      </c>
      <c r="M95" s="273">
        <v>100</v>
      </c>
      <c r="N95" s="348"/>
      <c r="O95" s="252">
        <v>100</v>
      </c>
      <c r="P95" s="342"/>
      <c r="Q95" s="343"/>
    </row>
    <row r="96" spans="1:17" s="244" customFormat="1" ht="107.25" customHeight="1">
      <c r="A96" s="213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151" t="s">
        <v>307</v>
      </c>
      <c r="M96" s="340"/>
      <c r="N96" s="347"/>
      <c r="O96" s="252">
        <f>13.5+40.3+102.9</f>
        <v>156.69999999999999</v>
      </c>
      <c r="P96" s="342"/>
      <c r="Q96" s="343"/>
    </row>
    <row r="97" spans="1:19" s="244" customFormat="1" ht="69.75" customHeight="1">
      <c r="A97" s="216" t="s">
        <v>63</v>
      </c>
      <c r="B97" s="299" t="s">
        <v>4</v>
      </c>
      <c r="C97" s="364">
        <v>1988.3</v>
      </c>
      <c r="D97" s="364"/>
      <c r="E97" s="364"/>
      <c r="F97" s="363">
        <f>E97+D97+C97</f>
        <v>1988.3</v>
      </c>
      <c r="G97" s="364">
        <v>1978.9</v>
      </c>
      <c r="H97" s="364"/>
      <c r="I97" s="364"/>
      <c r="J97" s="363">
        <f>G97+H97+I97</f>
        <v>1978.9</v>
      </c>
      <c r="K97" s="377">
        <f>J97/F97*100</f>
        <v>99.527234320776543</v>
      </c>
      <c r="L97" s="8" t="s">
        <v>217</v>
      </c>
      <c r="M97" s="353">
        <v>342.5</v>
      </c>
      <c r="N97" s="634">
        <f>M97+M98+M101</f>
        <v>1366</v>
      </c>
      <c r="O97" s="252">
        <v>342.5</v>
      </c>
      <c r="P97" s="342"/>
      <c r="Q97" s="343">
        <f>O97+O98+O99+O100+O101</f>
        <v>1978.9</v>
      </c>
      <c r="R97" s="332">
        <f>J97-Q97</f>
        <v>0</v>
      </c>
    </row>
    <row r="98" spans="1:19" s="244" customFormat="1" ht="399.75" customHeight="1">
      <c r="A98" s="217"/>
      <c r="B98" s="214"/>
      <c r="C98" s="172"/>
      <c r="D98" s="172"/>
      <c r="E98" s="172"/>
      <c r="F98" s="171"/>
      <c r="G98" s="172"/>
      <c r="H98" s="172"/>
      <c r="I98" s="172"/>
      <c r="J98" s="171"/>
      <c r="K98" s="349"/>
      <c r="L98" s="368" t="s">
        <v>308</v>
      </c>
      <c r="M98" s="639">
        <f>10+15.25+20+7+113.65+24.6+7+6.1+30+3+7.2+6.1+11.19+3+6+15+3+7.72+15+5.6+96+33.16+109+4.23+10</f>
        <v>568.80000000000007</v>
      </c>
      <c r="N98" s="635"/>
      <c r="O98" s="252">
        <f>10+15.25+20+7+113.65+24.6+4.26+10+14.98+38.75+30+93.97+35+102.66+10.02</f>
        <v>530.14</v>
      </c>
      <c r="P98" s="659">
        <f>O98+O99+O100</f>
        <v>1069.7</v>
      </c>
      <c r="Q98" s="343"/>
    </row>
    <row r="99" spans="1:19" s="244" customFormat="1" ht="357.75" customHeight="1">
      <c r="A99" s="217"/>
      <c r="B99" s="214"/>
      <c r="C99" s="172"/>
      <c r="D99" s="172"/>
      <c r="E99" s="172"/>
      <c r="F99" s="171"/>
      <c r="G99" s="172"/>
      <c r="H99" s="172"/>
      <c r="I99" s="172"/>
      <c r="J99" s="171"/>
      <c r="K99" s="349"/>
      <c r="L99" s="368" t="s">
        <v>264</v>
      </c>
      <c r="M99" s="639"/>
      <c r="N99" s="635"/>
      <c r="O99" s="252">
        <f>7+6.1+30+3+7.2+6.1+11.2+3+6+15+3+7.72+15+5.6+96+22.72+109</f>
        <v>353.64</v>
      </c>
      <c r="P99" s="659"/>
      <c r="Q99" s="343"/>
    </row>
    <row r="100" spans="1:19" s="244" customFormat="1" ht="147" customHeight="1">
      <c r="A100" s="217"/>
      <c r="B100" s="214"/>
      <c r="C100" s="172"/>
      <c r="D100" s="172"/>
      <c r="E100" s="172"/>
      <c r="F100" s="171"/>
      <c r="G100" s="172"/>
      <c r="H100" s="172"/>
      <c r="I100" s="172"/>
      <c r="J100" s="171"/>
      <c r="K100" s="349"/>
      <c r="L100" s="368" t="s">
        <v>349</v>
      </c>
      <c r="M100" s="639"/>
      <c r="N100" s="635"/>
      <c r="O100" s="252">
        <f>40+10.6+26.04+4.6+13.11+76.6+14.97</f>
        <v>185.92</v>
      </c>
      <c r="P100" s="659"/>
      <c r="Q100" s="343"/>
    </row>
    <row r="101" spans="1:19" s="244" customFormat="1" ht="345.75" customHeight="1">
      <c r="A101" s="217"/>
      <c r="B101" s="214"/>
      <c r="C101" s="172"/>
      <c r="D101" s="172"/>
      <c r="E101" s="172"/>
      <c r="F101" s="171"/>
      <c r="G101" s="172"/>
      <c r="H101" s="172"/>
      <c r="I101" s="172"/>
      <c r="J101" s="171"/>
      <c r="K101" s="349"/>
      <c r="L101" s="71" t="s">
        <v>309</v>
      </c>
      <c r="M101" s="273">
        <f>10.5+49.69+121+128.33+10.31+25+35.9+14+25.97+30+4</f>
        <v>454.69999999999993</v>
      </c>
      <c r="N101" s="649"/>
      <c r="O101" s="252">
        <f>10.5+49.69+121+128.33+10.31+25+35.9+14+25.97+95+30+15+6</f>
        <v>566.69999999999993</v>
      </c>
      <c r="P101" s="342"/>
      <c r="Q101" s="343"/>
    </row>
    <row r="102" spans="1:19" s="244" customFormat="1" ht="235.5" customHeight="1">
      <c r="A102" s="216" t="s">
        <v>64</v>
      </c>
      <c r="B102" s="22" t="s">
        <v>38</v>
      </c>
      <c r="C102" s="364">
        <v>32671.7</v>
      </c>
      <c r="D102" s="364"/>
      <c r="E102" s="364"/>
      <c r="F102" s="363">
        <f>E102+D102+C102</f>
        <v>32671.7</v>
      </c>
      <c r="G102" s="364">
        <v>30588.5</v>
      </c>
      <c r="H102" s="364"/>
      <c r="I102" s="364"/>
      <c r="J102" s="363">
        <f>I102+H102+G102</f>
        <v>30588.5</v>
      </c>
      <c r="K102" s="377">
        <f>J102*100/F102</f>
        <v>93.623839592062851</v>
      </c>
      <c r="L102" s="8" t="s">
        <v>263</v>
      </c>
      <c r="M102" s="276">
        <f>3961.47+1099.01+16.81+7.7+268.76+8+3.5</f>
        <v>5365.25</v>
      </c>
      <c r="N102" s="634">
        <f>M102+M103</f>
        <v>22512.099999999995</v>
      </c>
      <c r="O102" s="353">
        <f>5157.87+1604.54+9.38+21.84+9.6+410.07+8+1+3.5</f>
        <v>7225.8</v>
      </c>
      <c r="P102" s="626">
        <f>O102+O103</f>
        <v>30588.499999999996</v>
      </c>
      <c r="Q102" s="659">
        <f>J102-P102</f>
        <v>0</v>
      </c>
    </row>
    <row r="103" spans="1:19" s="244" customFormat="1" ht="252" customHeight="1">
      <c r="A103" s="213"/>
      <c r="B103" s="260"/>
      <c r="C103" s="367"/>
      <c r="D103" s="367"/>
      <c r="E103" s="367"/>
      <c r="F103" s="366"/>
      <c r="G103" s="367"/>
      <c r="H103" s="367"/>
      <c r="I103" s="367"/>
      <c r="J103" s="366"/>
      <c r="K103" s="350"/>
      <c r="L103" s="148" t="s">
        <v>310</v>
      </c>
      <c r="M103" s="277">
        <f>12954.75+3628.12+59.06+114.09+161.69+8.42+185.54+5.76+3.73+25.69</f>
        <v>17146.849999999995</v>
      </c>
      <c r="N103" s="649"/>
      <c r="O103" s="273">
        <f>17006.24+5317.12+77.8+133.57+383.72+8.42+297.1+5.76+5.5+44.43+83.04</f>
        <v>23362.699999999997</v>
      </c>
      <c r="P103" s="628"/>
      <c r="Q103" s="659"/>
    </row>
    <row r="104" spans="1:19" s="244" customFormat="1" ht="223.5" customHeight="1">
      <c r="A104" s="217" t="s">
        <v>65</v>
      </c>
      <c r="B104" s="214" t="s">
        <v>6</v>
      </c>
      <c r="C104" s="172">
        <v>2760.9</v>
      </c>
      <c r="D104" s="172"/>
      <c r="E104" s="171"/>
      <c r="F104" s="171">
        <f>E104+D104+C104</f>
        <v>2760.9</v>
      </c>
      <c r="G104" s="172">
        <v>2641.4</v>
      </c>
      <c r="H104" s="172"/>
      <c r="I104" s="172"/>
      <c r="J104" s="171">
        <f>I104+H104+G104</f>
        <v>2641.4</v>
      </c>
      <c r="K104" s="349">
        <f>J104*100/F104</f>
        <v>95.671701256836542</v>
      </c>
      <c r="L104" s="12" t="s">
        <v>261</v>
      </c>
      <c r="M104" s="353">
        <f>957.78+275.7+12.5+2.4+20+4.1+28.1+24.82</f>
        <v>1325.3999999999999</v>
      </c>
      <c r="N104" s="667">
        <f>M104+M105</f>
        <v>1616.3999999999999</v>
      </c>
      <c r="O104" s="353">
        <f>1272.52+364.08+20.32+2.4+18.63+6.2+35.5+244.75+139</f>
        <v>2103.4</v>
      </c>
      <c r="P104" s="626">
        <f>O104+O105</f>
        <v>2641.4</v>
      </c>
      <c r="Q104" s="659">
        <f>J104-P104</f>
        <v>0</v>
      </c>
      <c r="R104" s="335"/>
    </row>
    <row r="105" spans="1:19" s="244" customFormat="1" ht="409.5" customHeight="1">
      <c r="A105" s="213"/>
      <c r="B105" s="259"/>
      <c r="C105" s="367"/>
      <c r="D105" s="371"/>
      <c r="E105" s="366"/>
      <c r="F105" s="366"/>
      <c r="G105" s="367"/>
      <c r="H105" s="367"/>
      <c r="I105" s="367"/>
      <c r="J105" s="366"/>
      <c r="K105" s="350"/>
      <c r="L105" s="148" t="s">
        <v>262</v>
      </c>
      <c r="M105" s="273">
        <f>14+2.4+54.98+38.74+28.8+11.2+50+31.8+37+21+1+0.08</f>
        <v>291</v>
      </c>
      <c r="N105" s="668"/>
      <c r="O105" s="333">
        <f>14+2.4+55+38.74+28.8+11.2+50+31.8+37+21+1+89.44+9.8+58.5+25.64+29.67+19+6.6+8.4+0.01</f>
        <v>538</v>
      </c>
      <c r="P105" s="628"/>
      <c r="Q105" s="669"/>
    </row>
    <row r="106" spans="1:19" s="244" customFormat="1" ht="274.5" customHeight="1">
      <c r="A106" s="351" t="s">
        <v>31</v>
      </c>
      <c r="B106" s="298" t="s">
        <v>72</v>
      </c>
      <c r="C106" s="363">
        <v>41324.199999999997</v>
      </c>
      <c r="D106" s="363">
        <v>63023.4</v>
      </c>
      <c r="E106" s="363">
        <v>13805</v>
      </c>
      <c r="F106" s="363">
        <f>E106+D106+C106</f>
        <v>118152.59999999999</v>
      </c>
      <c r="G106" s="363">
        <v>32834.5</v>
      </c>
      <c r="H106" s="372">
        <v>61733.3</v>
      </c>
      <c r="I106" s="363">
        <v>13805</v>
      </c>
      <c r="J106" s="363">
        <f>I106+H106+G106</f>
        <v>108372.8</v>
      </c>
      <c r="K106" s="377">
        <f>J106*100/F106</f>
        <v>91.722738221588017</v>
      </c>
      <c r="L106" s="26" t="s">
        <v>341</v>
      </c>
      <c r="M106" s="353">
        <f>9.5+8.4+6.5+9.05+13.64+6</f>
        <v>53.09</v>
      </c>
      <c r="N106" s="634">
        <f>M106+M107+M110+M111+M112+M113+M115+M117+M119</f>
        <v>50198.1</v>
      </c>
      <c r="O106" s="252">
        <f>9.5+8.4+6.5+9.05+16.14+36.53+8.3+9.1+11.6+4.21+29.47</f>
        <v>148.79999999999998</v>
      </c>
      <c r="P106" s="342"/>
      <c r="Q106" s="343">
        <f>O106+O107+O108+O109+O110+O111+O112+O113+O114+O115+O117+O118+O119</f>
        <v>108372.80000000002</v>
      </c>
      <c r="R106" s="342">
        <f>J106-Q106</f>
        <v>0</v>
      </c>
      <c r="S106" s="291"/>
    </row>
    <row r="107" spans="1:19" s="244" customFormat="1" ht="147" customHeight="1">
      <c r="A107" s="77"/>
      <c r="B107" s="292"/>
      <c r="C107" s="171"/>
      <c r="D107" s="171"/>
      <c r="E107" s="172"/>
      <c r="F107" s="171"/>
      <c r="G107" s="171"/>
      <c r="H107" s="171"/>
      <c r="I107" s="171"/>
      <c r="J107" s="171"/>
      <c r="K107" s="349"/>
      <c r="L107" s="71" t="s">
        <v>258</v>
      </c>
      <c r="M107" s="340">
        <f>3039.83+865.66+4.9+60.7</f>
        <v>3971.0899999999997</v>
      </c>
      <c r="N107" s="635"/>
      <c r="O107" s="252">
        <f>4466.1+1283.02+4.9+222.4</f>
        <v>5976.42</v>
      </c>
      <c r="P107" s="342"/>
      <c r="Q107" s="343"/>
    </row>
    <row r="108" spans="1:19" s="244" customFormat="1" ht="97.5" customHeight="1">
      <c r="A108" s="77"/>
      <c r="B108" s="292"/>
      <c r="C108" s="171"/>
      <c r="D108" s="171"/>
      <c r="E108" s="172"/>
      <c r="F108" s="171"/>
      <c r="G108" s="171"/>
      <c r="H108" s="171"/>
      <c r="I108" s="171"/>
      <c r="J108" s="171"/>
      <c r="K108" s="349"/>
      <c r="L108" s="71" t="s">
        <v>339</v>
      </c>
      <c r="M108" s="340"/>
      <c r="N108" s="635"/>
      <c r="O108" s="275">
        <f>3329.8+423.6</f>
        <v>3753.4</v>
      </c>
      <c r="P108" s="342"/>
      <c r="Q108" s="343"/>
    </row>
    <row r="109" spans="1:19" s="244" customFormat="1" ht="78" customHeight="1">
      <c r="A109" s="77"/>
      <c r="B109" s="292"/>
      <c r="C109" s="171"/>
      <c r="D109" s="171"/>
      <c r="E109" s="172"/>
      <c r="F109" s="171"/>
      <c r="G109" s="171"/>
      <c r="H109" s="171"/>
      <c r="I109" s="171"/>
      <c r="J109" s="171"/>
      <c r="K109" s="349"/>
      <c r="L109" s="71" t="s">
        <v>342</v>
      </c>
      <c r="M109" s="340"/>
      <c r="N109" s="635"/>
      <c r="O109" s="252">
        <f>67.95+8.65</f>
        <v>76.600000000000009</v>
      </c>
      <c r="P109" s="342"/>
      <c r="Q109" s="343"/>
    </row>
    <row r="110" spans="1:19" s="244" customFormat="1" ht="125.25" customHeight="1">
      <c r="A110" s="77"/>
      <c r="B110" s="292"/>
      <c r="C110" s="171"/>
      <c r="D110" s="171"/>
      <c r="E110" s="172"/>
      <c r="F110" s="171"/>
      <c r="G110" s="171"/>
      <c r="H110" s="171"/>
      <c r="I110" s="171"/>
      <c r="J110" s="171"/>
      <c r="K110" s="349"/>
      <c r="L110" s="71" t="s">
        <v>340</v>
      </c>
      <c r="M110" s="340">
        <f>24.48+150.98+85.98+85.98</f>
        <v>347.42</v>
      </c>
      <c r="N110" s="635"/>
      <c r="O110" s="252">
        <f>24.48+352.7+85.99+94.05+44.1</f>
        <v>601.32000000000005</v>
      </c>
      <c r="P110" s="342"/>
      <c r="Q110" s="343"/>
    </row>
    <row r="111" spans="1:19" s="244" customFormat="1" ht="84" customHeight="1">
      <c r="A111" s="77"/>
      <c r="B111" s="292"/>
      <c r="C111" s="171"/>
      <c r="D111" s="171"/>
      <c r="E111" s="172"/>
      <c r="F111" s="171"/>
      <c r="G111" s="171"/>
      <c r="H111" s="171"/>
      <c r="I111" s="171"/>
      <c r="J111" s="171"/>
      <c r="K111" s="349"/>
      <c r="L111" s="71" t="s">
        <v>255</v>
      </c>
      <c r="M111" s="340">
        <f>100+22.7</f>
        <v>122.7</v>
      </c>
      <c r="N111" s="635"/>
      <c r="O111" s="252">
        <f>100+50</f>
        <v>150</v>
      </c>
      <c r="P111" s="342"/>
      <c r="Q111" s="343"/>
    </row>
    <row r="112" spans="1:19" s="244" customFormat="1" ht="86.25" customHeight="1">
      <c r="A112" s="77"/>
      <c r="B112" s="292"/>
      <c r="C112" s="171"/>
      <c r="D112" s="171"/>
      <c r="E112" s="172"/>
      <c r="F112" s="171"/>
      <c r="G112" s="171"/>
      <c r="H112" s="171"/>
      <c r="I112" s="171"/>
      <c r="J112" s="171"/>
      <c r="K112" s="349"/>
      <c r="L112" s="71" t="s">
        <v>253</v>
      </c>
      <c r="M112" s="340">
        <f>47.67+1081.71+92.82</f>
        <v>1222.2</v>
      </c>
      <c r="N112" s="635"/>
      <c r="O112" s="252">
        <f>47.67+1664.17+92.82+156+428.32+143.65+6032.31+230</f>
        <v>8794.94</v>
      </c>
      <c r="P112" s="342"/>
      <c r="Q112" s="343"/>
    </row>
    <row r="113" spans="1:17" s="244" customFormat="1" ht="78.75" customHeight="1">
      <c r="A113" s="77"/>
      <c r="B113" s="292"/>
      <c r="C113" s="171"/>
      <c r="D113" s="171"/>
      <c r="E113" s="172"/>
      <c r="F113" s="171"/>
      <c r="G113" s="171"/>
      <c r="H113" s="171"/>
      <c r="I113" s="171"/>
      <c r="J113" s="171"/>
      <c r="K113" s="349"/>
      <c r="L113" s="369" t="s">
        <v>350</v>
      </c>
      <c r="M113" s="340">
        <v>510.2</v>
      </c>
      <c r="N113" s="635"/>
      <c r="O113" s="252">
        <f>10.2+500</f>
        <v>510.2</v>
      </c>
      <c r="P113" s="342"/>
      <c r="Q113" s="343"/>
    </row>
    <row r="114" spans="1:17" s="244" customFormat="1" ht="204.75" customHeight="1">
      <c r="A114" s="77"/>
      <c r="B114" s="292"/>
      <c r="C114" s="171"/>
      <c r="D114" s="171"/>
      <c r="E114" s="172"/>
      <c r="F114" s="171"/>
      <c r="G114" s="171"/>
      <c r="H114" s="171"/>
      <c r="I114" s="171"/>
      <c r="J114" s="171"/>
      <c r="K114" s="349"/>
      <c r="L114" s="369" t="s">
        <v>254</v>
      </c>
      <c r="M114" s="340"/>
      <c r="N114" s="635"/>
      <c r="O114" s="252">
        <f>223.59+39.95+127.74+862.61+9.09+344.78+20+193.54</f>
        <v>1821.3</v>
      </c>
      <c r="P114" s="342"/>
      <c r="Q114" s="343"/>
    </row>
    <row r="115" spans="1:17" s="244" customFormat="1" ht="409.5" customHeight="1">
      <c r="A115" s="221"/>
      <c r="B115" s="292"/>
      <c r="C115" s="171"/>
      <c r="D115" s="171"/>
      <c r="E115" s="172"/>
      <c r="F115" s="171"/>
      <c r="G115" s="171"/>
      <c r="H115" s="171"/>
      <c r="I115" s="171"/>
      <c r="J115" s="171"/>
      <c r="K115" s="349"/>
      <c r="L115" s="12" t="s">
        <v>259</v>
      </c>
      <c r="M115" s="340">
        <f>12+4.56+14.5+30+25.35+9.45+21.76+12.97+8.16+10.29+4.14+8.5+4.05+12.15+6.4</f>
        <v>184.28</v>
      </c>
      <c r="N115" s="635"/>
      <c r="O115" s="252">
        <f>12+4.56+14.5+30+25.35+9.45+21.76+12.97+8.16+10.29+4.14+8.5+4.05+12.15+6.4</f>
        <v>184.28</v>
      </c>
      <c r="P115" s="670">
        <f>O115+O117+O118</f>
        <v>1024.22</v>
      </c>
      <c r="Q115" s="343"/>
    </row>
    <row r="116" spans="1:17" s="244" customFormat="1" ht="390.75" hidden="1" customHeight="1">
      <c r="A116" s="221"/>
      <c r="B116" s="339"/>
      <c r="C116" s="171"/>
      <c r="D116" s="171"/>
      <c r="E116" s="172"/>
      <c r="F116" s="171"/>
      <c r="G116" s="171"/>
      <c r="H116" s="171"/>
      <c r="I116" s="171"/>
      <c r="J116" s="171"/>
      <c r="K116" s="349"/>
      <c r="L116" s="12"/>
      <c r="M116" s="340"/>
      <c r="N116" s="635"/>
      <c r="O116" s="252"/>
      <c r="P116" s="670"/>
      <c r="Q116" s="343"/>
    </row>
    <row r="117" spans="1:17" s="244" customFormat="1" ht="361.5" customHeight="1">
      <c r="A117" s="221"/>
      <c r="B117" s="621"/>
      <c r="C117" s="665"/>
      <c r="D117" s="665"/>
      <c r="E117" s="671"/>
      <c r="F117" s="665"/>
      <c r="G117" s="665"/>
      <c r="H117" s="665"/>
      <c r="I117" s="665"/>
      <c r="J117" s="665"/>
      <c r="K117" s="666"/>
      <c r="L117" s="12" t="s">
        <v>256</v>
      </c>
      <c r="M117" s="340">
        <f>7.68+5.67+10.2+8.1+4.8+2.56+4+6.35+7.06+3.7+1.5+1.24+5.9+28.89+2.53+4+20.5+26.64</f>
        <v>151.32</v>
      </c>
      <c r="N117" s="635"/>
      <c r="O117" s="252">
        <f>5.67+10.2+8.1+4.8+2.56+4+6.35+7.06+3.7+1.5+1.24+5.9+42.03+2.53+4+20.47+580+7.68</f>
        <v>717.79</v>
      </c>
      <c r="P117" s="670"/>
      <c r="Q117" s="343"/>
    </row>
    <row r="118" spans="1:17" s="244" customFormat="1" ht="221.25" customHeight="1">
      <c r="A118" s="221"/>
      <c r="B118" s="621"/>
      <c r="C118" s="665"/>
      <c r="D118" s="665"/>
      <c r="E118" s="671"/>
      <c r="F118" s="665"/>
      <c r="G118" s="665"/>
      <c r="H118" s="665"/>
      <c r="I118" s="665"/>
      <c r="J118" s="665"/>
      <c r="K118" s="666"/>
      <c r="L118" s="12" t="s">
        <v>257</v>
      </c>
      <c r="M118" s="340"/>
      <c r="N118" s="635"/>
      <c r="O118" s="252">
        <f>6+12.84+20.31+49.84+2.46+3.2+3.6+4.9+7.28+6.02+5.7</f>
        <v>122.15</v>
      </c>
      <c r="P118" s="670"/>
      <c r="Q118" s="343"/>
    </row>
    <row r="119" spans="1:17" s="244" customFormat="1" ht="112.5" customHeight="1">
      <c r="A119" s="222"/>
      <c r="B119" s="622"/>
      <c r="C119" s="646"/>
      <c r="D119" s="646"/>
      <c r="E119" s="672"/>
      <c r="F119" s="646"/>
      <c r="G119" s="646"/>
      <c r="H119" s="646"/>
      <c r="I119" s="646"/>
      <c r="J119" s="646"/>
      <c r="K119" s="648"/>
      <c r="L119" s="148" t="s">
        <v>311</v>
      </c>
      <c r="M119" s="273">
        <f>41803.2+1061.3+771.3</f>
        <v>43635.8</v>
      </c>
      <c r="N119" s="649"/>
      <c r="O119" s="252">
        <f>74161.6+1286+10068</f>
        <v>85515.6</v>
      </c>
      <c r="P119" s="342"/>
      <c r="Q119" s="343"/>
    </row>
    <row r="120" spans="1:17" s="244" customFormat="1" ht="56.25">
      <c r="A120" s="215"/>
      <c r="B120" s="257" t="s">
        <v>73</v>
      </c>
      <c r="C120" s="104">
        <f t="shared" ref="C120:J120" si="2">C121+C123+C126</f>
        <v>12677.099999999999</v>
      </c>
      <c r="D120" s="104">
        <f>D121+D123+D126</f>
        <v>111095.6</v>
      </c>
      <c r="E120" s="104">
        <f t="shared" si="2"/>
        <v>11180</v>
      </c>
      <c r="F120" s="104">
        <f t="shared" si="2"/>
        <v>134952.69999999998</v>
      </c>
      <c r="G120" s="104">
        <f t="shared" si="2"/>
        <v>12197.1</v>
      </c>
      <c r="H120" s="104">
        <f>H121+H123+H126</f>
        <v>102836.29999999999</v>
      </c>
      <c r="I120" s="104">
        <f t="shared" si="2"/>
        <v>11180</v>
      </c>
      <c r="J120" s="104">
        <f t="shared" si="2"/>
        <v>126213.39999999998</v>
      </c>
      <c r="K120" s="102">
        <f>J120*100/F120</f>
        <v>93.524175507418519</v>
      </c>
      <c r="L120" s="131"/>
      <c r="M120" s="252"/>
      <c r="N120" s="219"/>
      <c r="O120" s="252"/>
      <c r="P120" s="342"/>
      <c r="Q120" s="343"/>
    </row>
    <row r="121" spans="1:17" s="244" customFormat="1" ht="245.25" customHeight="1">
      <c r="A121" s="256" t="s">
        <v>32</v>
      </c>
      <c r="B121" s="22" t="s">
        <v>45</v>
      </c>
      <c r="C121" s="364">
        <v>8349.7999999999993</v>
      </c>
      <c r="D121" s="364">
        <v>7143.3</v>
      </c>
      <c r="E121" s="364"/>
      <c r="F121" s="363">
        <f>E121+D121+C121</f>
        <v>15493.099999999999</v>
      </c>
      <c r="G121" s="364">
        <v>8232.7000000000007</v>
      </c>
      <c r="H121" s="364">
        <v>5272.7</v>
      </c>
      <c r="I121" s="364"/>
      <c r="J121" s="363">
        <f>I121+H121+G121</f>
        <v>13505.400000000001</v>
      </c>
      <c r="K121" s="377">
        <f>J121*100/F121</f>
        <v>87.170417798891137</v>
      </c>
      <c r="L121" s="373" t="s">
        <v>235</v>
      </c>
      <c r="M121" s="353">
        <f>5355.4+50+25.7+80+429</f>
        <v>5940.0999999999995</v>
      </c>
      <c r="N121" s="651">
        <f>M121+M122</f>
        <v>9880.9</v>
      </c>
      <c r="O121" s="353">
        <f>8011.2+72.5+49+100+649</f>
        <v>8881.7000000000007</v>
      </c>
      <c r="P121" s="657">
        <f>O121+O122</f>
        <v>13505.400000000001</v>
      </c>
      <c r="Q121" s="626">
        <f>J121-P121</f>
        <v>0</v>
      </c>
    </row>
    <row r="122" spans="1:17" s="244" customFormat="1" ht="73.5" customHeight="1">
      <c r="A122" s="272"/>
      <c r="B122" s="260"/>
      <c r="C122" s="367"/>
      <c r="D122" s="367"/>
      <c r="E122" s="367"/>
      <c r="F122" s="366"/>
      <c r="G122" s="367"/>
      <c r="H122" s="367"/>
      <c r="I122" s="367"/>
      <c r="J122" s="366"/>
      <c r="K122" s="350"/>
      <c r="L122" s="294" t="s">
        <v>234</v>
      </c>
      <c r="M122" s="273">
        <v>3940.8</v>
      </c>
      <c r="N122" s="653"/>
      <c r="O122" s="273">
        <v>4623.7</v>
      </c>
      <c r="P122" s="658"/>
      <c r="Q122" s="628"/>
    </row>
    <row r="123" spans="1:17" s="244" customFormat="1" ht="108" customHeight="1">
      <c r="A123" s="216" t="s">
        <v>34</v>
      </c>
      <c r="B123" s="22" t="s">
        <v>7</v>
      </c>
      <c r="C123" s="165"/>
      <c r="D123" s="165">
        <v>99632.3</v>
      </c>
      <c r="E123" s="165">
        <v>11180</v>
      </c>
      <c r="F123" s="166">
        <f>E123+D123+C123</f>
        <v>110812.3</v>
      </c>
      <c r="G123" s="165"/>
      <c r="H123" s="165">
        <f>95190.4-0.1</f>
        <v>95190.299999999988</v>
      </c>
      <c r="I123" s="165">
        <v>11180</v>
      </c>
      <c r="J123" s="166">
        <f>G123+H123+I123</f>
        <v>106370.29999999999</v>
      </c>
      <c r="K123" s="374">
        <f>J123*100/F123</f>
        <v>95.991419725066606</v>
      </c>
      <c r="L123" s="26" t="s">
        <v>237</v>
      </c>
      <c r="M123" s="276">
        <f>11180+33559.8</f>
        <v>44739.8</v>
      </c>
      <c r="N123" s="651">
        <f>M123+M124+M125</f>
        <v>85771.5</v>
      </c>
      <c r="O123" s="353">
        <f>11180+36585.3</f>
        <v>47765.3</v>
      </c>
      <c r="P123" s="657">
        <f>O123+O124+O125</f>
        <v>106370.3</v>
      </c>
      <c r="Q123" s="626">
        <f>J123-P123</f>
        <v>0</v>
      </c>
    </row>
    <row r="124" spans="1:17" s="244" customFormat="1" ht="114" customHeight="1">
      <c r="A124" s="217"/>
      <c r="B124" s="24"/>
      <c r="C124" s="175"/>
      <c r="D124" s="175"/>
      <c r="E124" s="175"/>
      <c r="F124" s="176"/>
      <c r="G124" s="175"/>
      <c r="H124" s="175"/>
      <c r="I124" s="175"/>
      <c r="J124" s="175"/>
      <c r="K124" s="306"/>
      <c r="L124" s="71" t="s">
        <v>236</v>
      </c>
      <c r="M124" s="302">
        <f>5784.4+138.3+36.7+54.6+71.7+101.2</f>
        <v>6186.9</v>
      </c>
      <c r="N124" s="652"/>
      <c r="O124" s="340">
        <f>8193.7+205.3+50.2+61.1+103.7+1625.1+171.5+66.4</f>
        <v>10477.000000000002</v>
      </c>
      <c r="P124" s="659"/>
      <c r="Q124" s="660"/>
    </row>
    <row r="125" spans="1:17" s="244" customFormat="1" ht="108.75" customHeight="1">
      <c r="A125" s="217"/>
      <c r="B125" s="260"/>
      <c r="C125" s="177"/>
      <c r="D125" s="177"/>
      <c r="E125" s="177"/>
      <c r="F125" s="375"/>
      <c r="G125" s="177"/>
      <c r="H125" s="177"/>
      <c r="I125" s="177"/>
      <c r="J125" s="375"/>
      <c r="K125" s="376"/>
      <c r="L125" s="28" t="s">
        <v>298</v>
      </c>
      <c r="M125" s="277">
        <f>22046.5+12798.3</f>
        <v>34844.800000000003</v>
      </c>
      <c r="N125" s="653"/>
      <c r="O125" s="273">
        <f>29396.3+18731.7</f>
        <v>48128</v>
      </c>
      <c r="P125" s="658"/>
      <c r="Q125" s="661"/>
    </row>
    <row r="126" spans="1:17" s="244" customFormat="1" ht="105.75" customHeight="1">
      <c r="A126" s="216" t="s">
        <v>35</v>
      </c>
      <c r="B126" s="299" t="s">
        <v>8</v>
      </c>
      <c r="C126" s="364">
        <v>4327.3</v>
      </c>
      <c r="D126" s="364">
        <v>4320</v>
      </c>
      <c r="E126" s="364"/>
      <c r="F126" s="363">
        <f>E126+D126+C126</f>
        <v>8647.2999999999993</v>
      </c>
      <c r="G126" s="383">
        <f>3964.4</f>
        <v>3964.4</v>
      </c>
      <c r="H126" s="383">
        <f>2373.2+0.1</f>
        <v>2373.2999999999997</v>
      </c>
      <c r="I126" s="364"/>
      <c r="J126" s="363">
        <f>I126+H126+G126</f>
        <v>6337.7</v>
      </c>
      <c r="K126" s="377">
        <f>J126*100/F126</f>
        <v>73.291085078579442</v>
      </c>
      <c r="L126" s="71" t="s">
        <v>317</v>
      </c>
      <c r="M126" s="353">
        <f>2052.2+136+21.6+195.9</f>
        <v>2405.6999999999998</v>
      </c>
      <c r="N126" s="290">
        <f>M126+M128</f>
        <v>2945.3999999999996</v>
      </c>
      <c r="O126" s="353">
        <f>2948.6+146.3+32.4+196</f>
        <v>3323.3</v>
      </c>
      <c r="P126" s="657">
        <f>O126+O127+O128+O129+O130</f>
        <v>6337.7</v>
      </c>
      <c r="Q126" s="626">
        <f>J126-P126</f>
        <v>0</v>
      </c>
    </row>
    <row r="127" spans="1:17" s="244" customFormat="1" ht="45.75" customHeight="1">
      <c r="A127" s="217"/>
      <c r="B127" s="214"/>
      <c r="C127" s="172"/>
      <c r="D127" s="172"/>
      <c r="E127" s="172"/>
      <c r="F127" s="171"/>
      <c r="G127" s="172"/>
      <c r="H127" s="172"/>
      <c r="I127" s="172"/>
      <c r="J127" s="171"/>
      <c r="K127" s="349"/>
      <c r="L127" s="71" t="s">
        <v>238</v>
      </c>
      <c r="M127" s="340"/>
      <c r="N127" s="278"/>
      <c r="O127" s="340">
        <v>53</v>
      </c>
      <c r="P127" s="659"/>
      <c r="Q127" s="660"/>
    </row>
    <row r="128" spans="1:17" s="244" customFormat="1" ht="85.5" customHeight="1">
      <c r="A128" s="217"/>
      <c r="B128" s="214"/>
      <c r="C128" s="172"/>
      <c r="D128" s="172"/>
      <c r="E128" s="172"/>
      <c r="F128" s="171"/>
      <c r="G128" s="172"/>
      <c r="H128" s="172"/>
      <c r="I128" s="172"/>
      <c r="J128" s="171"/>
      <c r="K128" s="349"/>
      <c r="L128" s="369" t="s">
        <v>239</v>
      </c>
      <c r="M128" s="273">
        <f>146.6+136.5+33.5+223.1</f>
        <v>539.70000000000005</v>
      </c>
      <c r="N128" s="279"/>
      <c r="O128" s="340">
        <f>146.6+136.5+33.5+223.1</f>
        <v>539.70000000000005</v>
      </c>
      <c r="P128" s="659"/>
      <c r="Q128" s="660"/>
    </row>
    <row r="129" spans="1:22" s="244" customFormat="1" ht="47.25" customHeight="1">
      <c r="A129" s="217"/>
      <c r="B129" s="214"/>
      <c r="C129" s="172"/>
      <c r="D129" s="172"/>
      <c r="E129" s="172"/>
      <c r="F129" s="171"/>
      <c r="G129" s="172"/>
      <c r="H129" s="172"/>
      <c r="I129" s="172"/>
      <c r="J129" s="171"/>
      <c r="K129" s="349"/>
      <c r="L129" s="369" t="s">
        <v>240</v>
      </c>
      <c r="M129" s="340"/>
      <c r="N129" s="278"/>
      <c r="O129" s="340">
        <v>2373.1999999999998</v>
      </c>
      <c r="P129" s="659"/>
      <c r="Q129" s="660"/>
    </row>
    <row r="130" spans="1:22" s="244" customFormat="1" ht="52.5" customHeight="1">
      <c r="A130" s="217"/>
      <c r="B130" s="214"/>
      <c r="C130" s="172"/>
      <c r="D130" s="172"/>
      <c r="E130" s="172"/>
      <c r="F130" s="171"/>
      <c r="G130" s="172"/>
      <c r="H130" s="172"/>
      <c r="I130" s="172"/>
      <c r="J130" s="171"/>
      <c r="K130" s="349"/>
      <c r="L130" s="369" t="s">
        <v>299</v>
      </c>
      <c r="M130" s="340"/>
      <c r="N130" s="278"/>
      <c r="O130" s="273">
        <v>48.5</v>
      </c>
      <c r="P130" s="658"/>
      <c r="Q130" s="661"/>
    </row>
    <row r="131" spans="1:22" s="244" customFormat="1" ht="294" customHeight="1">
      <c r="A131" s="261" t="s">
        <v>37</v>
      </c>
      <c r="B131" s="338" t="s">
        <v>81</v>
      </c>
      <c r="C131" s="385">
        <f>26166.4+0.1</f>
        <v>26166.5</v>
      </c>
      <c r="D131" s="363">
        <v>2320.6999999999998</v>
      </c>
      <c r="E131" s="363"/>
      <c r="F131" s="363">
        <f>E131+D131+C131</f>
        <v>28487.200000000001</v>
      </c>
      <c r="G131" s="385">
        <f>25620.6+0.1</f>
        <v>25620.699999999997</v>
      </c>
      <c r="H131" s="363">
        <v>1597.4</v>
      </c>
      <c r="I131" s="363"/>
      <c r="J131" s="363">
        <f>I131+H131+G131</f>
        <v>27218.1</v>
      </c>
      <c r="K131" s="377">
        <f>J131*100/F131</f>
        <v>95.545016709258888</v>
      </c>
      <c r="L131" s="97" t="s">
        <v>232</v>
      </c>
      <c r="M131" s="287">
        <f>9556.7+2688.8+172.6+1474.5+454.5+500.3+138.4+204.4+9+349.8+147.85+22.53</f>
        <v>15719.38</v>
      </c>
      <c r="N131" s="662">
        <f>M131+M132+M133+M136</f>
        <v>16259.9</v>
      </c>
      <c r="O131" s="353">
        <f>12780.61+3958.34+234.22+467.32+648.72+951.4+279.52+343.37+22.61+460.92+186.03+40.82+1852.62+560.45</f>
        <v>22786.95</v>
      </c>
      <c r="P131" s="657">
        <f>O131+O132+O133+O134+O135+O136</f>
        <v>27218</v>
      </c>
      <c r="Q131" s="626">
        <f>J131-P131</f>
        <v>9.9999999998544808E-2</v>
      </c>
      <c r="R131" s="631"/>
    </row>
    <row r="132" spans="1:22" s="244" customFormat="1" ht="61.5" customHeight="1">
      <c r="A132" s="262"/>
      <c r="B132" s="339"/>
      <c r="C132" s="171"/>
      <c r="D132" s="171"/>
      <c r="E132" s="171"/>
      <c r="F132" s="171"/>
      <c r="G132" s="171"/>
      <c r="H132" s="171"/>
      <c r="I132" s="171"/>
      <c r="J132" s="171"/>
      <c r="K132" s="349"/>
      <c r="L132" s="227" t="s">
        <v>228</v>
      </c>
      <c r="M132" s="274">
        <v>113.5</v>
      </c>
      <c r="N132" s="663"/>
      <c r="O132" s="340">
        <v>141.5</v>
      </c>
      <c r="P132" s="659"/>
      <c r="Q132" s="660"/>
      <c r="R132" s="632"/>
    </row>
    <row r="133" spans="1:22" s="244" customFormat="1" ht="65.25" customHeight="1">
      <c r="A133" s="263"/>
      <c r="B133" s="339"/>
      <c r="C133" s="171"/>
      <c r="D133" s="171"/>
      <c r="E133" s="171"/>
      <c r="F133" s="171"/>
      <c r="G133" s="171"/>
      <c r="H133" s="171"/>
      <c r="I133" s="171"/>
      <c r="J133" s="171"/>
      <c r="K133" s="349"/>
      <c r="L133" s="227" t="s">
        <v>229</v>
      </c>
      <c r="M133" s="274">
        <f>271+50</f>
        <v>321</v>
      </c>
      <c r="N133" s="663"/>
      <c r="O133" s="340">
        <f>545+50</f>
        <v>595</v>
      </c>
      <c r="P133" s="659"/>
      <c r="Q133" s="660"/>
      <c r="R133" s="632"/>
    </row>
    <row r="134" spans="1:22" s="244" customFormat="1" ht="52.5" customHeight="1">
      <c r="A134" s="263"/>
      <c r="B134" s="339"/>
      <c r="C134" s="171"/>
      <c r="D134" s="171"/>
      <c r="E134" s="171"/>
      <c r="F134" s="171"/>
      <c r="G134" s="171"/>
      <c r="H134" s="171"/>
      <c r="I134" s="171"/>
      <c r="J134" s="171"/>
      <c r="K134" s="349"/>
      <c r="L134" s="339" t="s">
        <v>230</v>
      </c>
      <c r="M134" s="274"/>
      <c r="N134" s="663"/>
      <c r="O134" s="340">
        <v>1761.89</v>
      </c>
      <c r="P134" s="659"/>
      <c r="Q134" s="660"/>
      <c r="R134" s="632"/>
    </row>
    <row r="135" spans="1:22" s="244" customFormat="1" ht="194.25" customHeight="1">
      <c r="A135" s="263"/>
      <c r="B135" s="339"/>
      <c r="C135" s="171"/>
      <c r="D135" s="171"/>
      <c r="E135" s="171"/>
      <c r="F135" s="171"/>
      <c r="G135" s="171"/>
      <c r="H135" s="171"/>
      <c r="I135" s="171"/>
      <c r="J135" s="171"/>
      <c r="K135" s="349"/>
      <c r="L135" s="339" t="s">
        <v>233</v>
      </c>
      <c r="M135" s="274"/>
      <c r="N135" s="663"/>
      <c r="O135" s="340">
        <f>700+14.76+300+150+150+330</f>
        <v>1644.76</v>
      </c>
      <c r="P135" s="659"/>
      <c r="Q135" s="660"/>
      <c r="R135" s="632"/>
    </row>
    <row r="136" spans="1:22" s="244" customFormat="1" ht="90.75" customHeight="1">
      <c r="A136" s="263"/>
      <c r="B136" s="339"/>
      <c r="C136" s="171"/>
      <c r="D136" s="171"/>
      <c r="E136" s="171"/>
      <c r="F136" s="171"/>
      <c r="G136" s="171"/>
      <c r="H136" s="171"/>
      <c r="I136" s="171"/>
      <c r="J136" s="171"/>
      <c r="K136" s="349"/>
      <c r="L136" s="339" t="s">
        <v>231</v>
      </c>
      <c r="M136" s="288">
        <f>94.12+11.9</f>
        <v>106.02000000000001</v>
      </c>
      <c r="N136" s="664"/>
      <c r="O136" s="273">
        <f>264.1+23.8</f>
        <v>287.90000000000003</v>
      </c>
      <c r="P136" s="658"/>
      <c r="Q136" s="661"/>
      <c r="R136" s="632"/>
    </row>
    <row r="137" spans="1:22" s="244" customFormat="1" ht="165.75" customHeight="1">
      <c r="A137" s="215" t="s">
        <v>39</v>
      </c>
      <c r="B137" s="161" t="s">
        <v>74</v>
      </c>
      <c r="C137" s="104">
        <v>21</v>
      </c>
      <c r="D137" s="104"/>
      <c r="E137" s="104"/>
      <c r="F137" s="104">
        <f>E137+D137+C137</f>
        <v>21</v>
      </c>
      <c r="G137" s="104">
        <v>20.7</v>
      </c>
      <c r="H137" s="104"/>
      <c r="I137" s="104"/>
      <c r="J137" s="104">
        <f>G137+H137+I137</f>
        <v>20.7</v>
      </c>
      <c r="K137" s="102">
        <f>J137/F137*100</f>
        <v>98.571428571428569</v>
      </c>
      <c r="L137" s="131" t="s">
        <v>223</v>
      </c>
      <c r="M137" s="301">
        <f>4+3+3</f>
        <v>10</v>
      </c>
      <c r="N137" s="219"/>
      <c r="O137" s="273">
        <f>4+2+1.7+7+3+3</f>
        <v>20.7</v>
      </c>
      <c r="P137" s="344">
        <f>J137-O137</f>
        <v>0</v>
      </c>
      <c r="Q137" s="343"/>
    </row>
    <row r="138" spans="1:22" s="244" customFormat="1" ht="110.25" customHeight="1">
      <c r="A138" s="228" t="s">
        <v>40</v>
      </c>
      <c r="B138" s="162" t="s">
        <v>75</v>
      </c>
      <c r="C138" s="104">
        <f t="shared" ref="C138:J138" si="3">C139+C140+C141+C142</f>
        <v>132.9</v>
      </c>
      <c r="D138" s="104">
        <f t="shared" si="3"/>
        <v>0</v>
      </c>
      <c r="E138" s="104">
        <f t="shared" si="3"/>
        <v>0</v>
      </c>
      <c r="F138" s="104">
        <f t="shared" si="3"/>
        <v>132.9</v>
      </c>
      <c r="G138" s="104">
        <f t="shared" si="3"/>
        <v>123.89999999999999</v>
      </c>
      <c r="H138" s="104">
        <f t="shared" si="3"/>
        <v>0</v>
      </c>
      <c r="I138" s="104">
        <f t="shared" si="3"/>
        <v>0</v>
      </c>
      <c r="J138" s="104">
        <f t="shared" si="3"/>
        <v>123.89999999999999</v>
      </c>
      <c r="K138" s="102">
        <f>J138*100/F138</f>
        <v>93.227990970654631</v>
      </c>
      <c r="L138" s="131"/>
      <c r="M138" s="252"/>
      <c r="N138" s="219"/>
      <c r="O138" s="252"/>
      <c r="P138" s="342"/>
      <c r="Q138" s="343"/>
    </row>
    <row r="139" spans="1:22" s="244" customFormat="1" ht="79.5" customHeight="1">
      <c r="A139" s="229" t="s">
        <v>66</v>
      </c>
      <c r="B139" s="300" t="s">
        <v>9</v>
      </c>
      <c r="C139" s="103">
        <v>13</v>
      </c>
      <c r="D139" s="103"/>
      <c r="E139" s="103"/>
      <c r="F139" s="104">
        <f>E139+D139+C139</f>
        <v>13</v>
      </c>
      <c r="G139" s="103">
        <v>11.8</v>
      </c>
      <c r="H139" s="103"/>
      <c r="I139" s="103"/>
      <c r="J139" s="104">
        <f>I139+H139+G139</f>
        <v>11.8</v>
      </c>
      <c r="K139" s="102">
        <f>J139*100/F139</f>
        <v>90.769230769230774</v>
      </c>
      <c r="L139" s="132" t="s">
        <v>225</v>
      </c>
      <c r="M139" s="353">
        <v>1.8</v>
      </c>
      <c r="N139" s="290">
        <f>M139+M140+M141+M142</f>
        <v>74.100000000000009</v>
      </c>
      <c r="O139" s="252">
        <f>10+1.8</f>
        <v>11.8</v>
      </c>
      <c r="P139" s="342">
        <f>J139-O139</f>
        <v>0</v>
      </c>
      <c r="Q139" s="343"/>
    </row>
    <row r="140" spans="1:22" s="244" customFormat="1" ht="61.5" customHeight="1">
      <c r="A140" s="230" t="s">
        <v>67</v>
      </c>
      <c r="B140" s="300" t="s">
        <v>48</v>
      </c>
      <c r="C140" s="103">
        <v>54</v>
      </c>
      <c r="D140" s="103"/>
      <c r="E140" s="103"/>
      <c r="F140" s="104">
        <f>E140+D140+C140</f>
        <v>54</v>
      </c>
      <c r="G140" s="103">
        <v>49.2</v>
      </c>
      <c r="H140" s="103"/>
      <c r="I140" s="103"/>
      <c r="J140" s="104">
        <f>I140+H140+G140</f>
        <v>49.2</v>
      </c>
      <c r="K140" s="102">
        <f>J140*100/F140</f>
        <v>91.111111111111114</v>
      </c>
      <c r="L140" s="131" t="s">
        <v>219</v>
      </c>
      <c r="M140" s="340">
        <v>49.2</v>
      </c>
      <c r="N140" s="278"/>
      <c r="O140" s="252">
        <v>49.2</v>
      </c>
      <c r="P140" s="342">
        <f>J140-O140</f>
        <v>0</v>
      </c>
      <c r="Q140" s="343"/>
    </row>
    <row r="141" spans="1:22" s="244" customFormat="1" ht="96" customHeight="1">
      <c r="A141" s="224" t="s">
        <v>68</v>
      </c>
      <c r="B141" s="226" t="s">
        <v>10</v>
      </c>
      <c r="C141" s="103">
        <v>63.3</v>
      </c>
      <c r="D141" s="103"/>
      <c r="E141" s="103"/>
      <c r="F141" s="104">
        <f>E141+D141+C141</f>
        <v>63.3</v>
      </c>
      <c r="G141" s="103">
        <v>60.3</v>
      </c>
      <c r="H141" s="103"/>
      <c r="I141" s="103"/>
      <c r="J141" s="104">
        <f>I141+H141+G141</f>
        <v>60.3</v>
      </c>
      <c r="K141" s="102">
        <f>J141*100/F141</f>
        <v>95.260663507109015</v>
      </c>
      <c r="L141" s="131" t="s">
        <v>227</v>
      </c>
      <c r="M141" s="273">
        <v>20.399999999999999</v>
      </c>
      <c r="N141" s="279"/>
      <c r="O141" s="252">
        <f>10.3+20+30</f>
        <v>60.3</v>
      </c>
      <c r="P141" s="342">
        <f>J141-O141</f>
        <v>0</v>
      </c>
      <c r="Q141" s="343"/>
    </row>
    <row r="142" spans="1:22" s="244" customFormat="1" ht="59.25" customHeight="1">
      <c r="A142" s="224" t="s">
        <v>69</v>
      </c>
      <c r="B142" s="226" t="s">
        <v>11</v>
      </c>
      <c r="C142" s="103">
        <v>2.6</v>
      </c>
      <c r="D142" s="103"/>
      <c r="E142" s="103"/>
      <c r="F142" s="104">
        <f>E142+D142+C142</f>
        <v>2.6</v>
      </c>
      <c r="G142" s="103">
        <v>2.6</v>
      </c>
      <c r="H142" s="103"/>
      <c r="I142" s="103"/>
      <c r="J142" s="104">
        <f>I142+H142+G142</f>
        <v>2.6</v>
      </c>
      <c r="K142" s="102">
        <f>J142*100/F142</f>
        <v>100</v>
      </c>
      <c r="L142" s="131" t="s">
        <v>226</v>
      </c>
      <c r="M142" s="252">
        <v>2.7</v>
      </c>
      <c r="N142" s="219"/>
      <c r="O142" s="252">
        <v>2.6</v>
      </c>
      <c r="P142" s="342">
        <f>J142-O142</f>
        <v>0</v>
      </c>
      <c r="Q142" s="343"/>
    </row>
    <row r="143" spans="1:22" s="244" customFormat="1" ht="276" customHeight="1">
      <c r="A143" s="351" t="s">
        <v>41</v>
      </c>
      <c r="B143" s="298" t="s">
        <v>76</v>
      </c>
      <c r="C143" s="363">
        <v>4265.1000000000004</v>
      </c>
      <c r="D143" s="363">
        <v>802.6</v>
      </c>
      <c r="E143" s="363"/>
      <c r="F143" s="363">
        <f>E143+D143+C143</f>
        <v>5067.7000000000007</v>
      </c>
      <c r="G143" s="363">
        <v>3954.1</v>
      </c>
      <c r="H143" s="363">
        <v>802.6</v>
      </c>
      <c r="I143" s="363"/>
      <c r="J143" s="363">
        <f>G143+I143+H143</f>
        <v>4756.7</v>
      </c>
      <c r="K143" s="377">
        <f>J143/F143*100</f>
        <v>93.863093711151009</v>
      </c>
      <c r="L143" s="8" t="s">
        <v>312</v>
      </c>
      <c r="M143" s="353">
        <f>912.45+239.06+39.1+125.99+21.63+22.81+0.05+1.61</f>
        <v>1362.6999999999998</v>
      </c>
      <c r="N143" s="290">
        <f>M143+M145+M144</f>
        <v>2579.5</v>
      </c>
      <c r="O143" s="334">
        <f>1236.77+354.88+82.62+0.8+53.1+41.24+530.41+7.39+69.82+0.07+132.9</f>
        <v>2510</v>
      </c>
      <c r="P143" s="626">
        <f>O143+O144+O145</f>
        <v>4756.7000000000007</v>
      </c>
      <c r="Q143" s="343"/>
      <c r="R143" s="332"/>
      <c r="S143" s="332"/>
      <c r="T143" s="332"/>
      <c r="U143" s="332"/>
      <c r="V143" s="332"/>
    </row>
    <row r="144" spans="1:22" s="244" customFormat="1" ht="175.5" customHeight="1">
      <c r="A144" s="77"/>
      <c r="B144" s="292"/>
      <c r="C144" s="171"/>
      <c r="D144" s="171"/>
      <c r="E144" s="171"/>
      <c r="F144" s="171"/>
      <c r="G144" s="171"/>
      <c r="H144" s="171"/>
      <c r="I144" s="171"/>
      <c r="J144" s="171"/>
      <c r="K144" s="349"/>
      <c r="L144" s="12" t="s">
        <v>313</v>
      </c>
      <c r="M144" s="340">
        <f>776.2+15.8+363</f>
        <v>1155</v>
      </c>
      <c r="N144" s="278"/>
      <c r="O144" s="340">
        <f>802.6+16.4+362.9+500+499.8</f>
        <v>2181.7000000000003</v>
      </c>
      <c r="P144" s="627"/>
      <c r="Q144" s="354">
        <f>J143-P143</f>
        <v>0</v>
      </c>
    </row>
    <row r="145" spans="1:17" s="244" customFormat="1" ht="165.75" customHeight="1">
      <c r="A145" s="352"/>
      <c r="B145" s="223"/>
      <c r="C145" s="223"/>
      <c r="D145" s="223"/>
      <c r="E145" s="366"/>
      <c r="F145" s="366"/>
      <c r="G145" s="366"/>
      <c r="H145" s="366"/>
      <c r="I145" s="366"/>
      <c r="J145" s="366"/>
      <c r="K145" s="350"/>
      <c r="L145" s="148" t="s">
        <v>252</v>
      </c>
      <c r="M145" s="273">
        <f>2.8+29.7+29.3</f>
        <v>61.8</v>
      </c>
      <c r="N145" s="279"/>
      <c r="O145" s="333">
        <f>29.7+29.38+2.78+3.14</f>
        <v>65</v>
      </c>
      <c r="P145" s="628"/>
      <c r="Q145" s="343"/>
    </row>
    <row r="146" spans="1:17" s="244" customFormat="1" ht="162.75" hidden="1" customHeight="1">
      <c r="A146" s="352"/>
      <c r="B146" s="223"/>
      <c r="C146" s="366"/>
      <c r="D146" s="366"/>
      <c r="E146" s="171"/>
      <c r="F146" s="366"/>
      <c r="G146" s="366"/>
      <c r="H146" s="366"/>
      <c r="I146" s="366"/>
      <c r="J146" s="366"/>
      <c r="K146" s="350"/>
      <c r="L146" s="148" t="s">
        <v>213</v>
      </c>
      <c r="M146" s="252"/>
      <c r="N146" s="219"/>
      <c r="O146" s="252"/>
      <c r="P146" s="342"/>
      <c r="Q146" s="343"/>
    </row>
    <row r="147" spans="1:17" s="244" customFormat="1" ht="76.5" customHeight="1">
      <c r="A147" s="228" t="s">
        <v>42</v>
      </c>
      <c r="B147" s="162" t="s">
        <v>77</v>
      </c>
      <c r="C147" s="363">
        <f>C148+C160</f>
        <v>40375</v>
      </c>
      <c r="D147" s="363">
        <f>D148+D160</f>
        <v>19835.5</v>
      </c>
      <c r="E147" s="363">
        <f t="shared" ref="E147:J147" si="4">E148+E160</f>
        <v>0</v>
      </c>
      <c r="F147" s="363">
        <f t="shared" si="4"/>
        <v>60210.5</v>
      </c>
      <c r="G147" s="104">
        <f t="shared" si="4"/>
        <v>22128.9</v>
      </c>
      <c r="H147" s="104">
        <f t="shared" si="4"/>
        <v>19081.3</v>
      </c>
      <c r="I147" s="104">
        <f t="shared" si="4"/>
        <v>0</v>
      </c>
      <c r="J147" s="104">
        <f t="shared" si="4"/>
        <v>41210.200000000004</v>
      </c>
      <c r="K147" s="102">
        <f>J147*100/F147</f>
        <v>68.443543900150317</v>
      </c>
      <c r="L147" s="131"/>
      <c r="M147" s="275"/>
      <c r="N147" s="219"/>
      <c r="O147" s="252"/>
      <c r="P147" s="342"/>
      <c r="Q147" s="343"/>
    </row>
    <row r="148" spans="1:17" s="244" customFormat="1" ht="336.75" customHeight="1">
      <c r="A148" s="231" t="s">
        <v>43</v>
      </c>
      <c r="B148" s="22" t="s">
        <v>12</v>
      </c>
      <c r="C148" s="364">
        <v>39442.6</v>
      </c>
      <c r="D148" s="364">
        <v>19835.5</v>
      </c>
      <c r="E148" s="364"/>
      <c r="F148" s="363">
        <f>E148+D148+C148</f>
        <v>59278.1</v>
      </c>
      <c r="G148" s="364">
        <f>21196.5</f>
        <v>21196.5</v>
      </c>
      <c r="H148" s="364">
        <f>19081.3</f>
        <v>19081.3</v>
      </c>
      <c r="I148" s="364"/>
      <c r="J148" s="363">
        <f>I148+H148+G148</f>
        <v>40277.800000000003</v>
      </c>
      <c r="K148" s="377">
        <f>J148*100/F148</f>
        <v>67.947184542014682</v>
      </c>
      <c r="L148" s="123" t="s">
        <v>343</v>
      </c>
      <c r="M148" s="353">
        <f>48.83+276.74+58.04+65.92+50.83+116.02</f>
        <v>616.38</v>
      </c>
      <c r="N148" s="651">
        <f>M148+M149+M150+M151+M152+M153+M160</f>
        <v>27789.9</v>
      </c>
      <c r="O148" s="353">
        <f>48.83+276.74+58.04+65.92+50.83+116.02</f>
        <v>616.38</v>
      </c>
      <c r="P148" s="654">
        <f>O148+O149+O150+O151+O152+O153+O154</f>
        <v>40277.800000000003</v>
      </c>
      <c r="Q148" s="342">
        <f>J148-P148</f>
        <v>0</v>
      </c>
    </row>
    <row r="149" spans="1:17" s="244" customFormat="1" ht="27" customHeight="1">
      <c r="A149" s="232"/>
      <c r="B149" s="214"/>
      <c r="C149" s="172"/>
      <c r="D149" s="172"/>
      <c r="E149" s="172"/>
      <c r="F149" s="171"/>
      <c r="G149" s="172"/>
      <c r="H149" s="172"/>
      <c r="I149" s="172"/>
      <c r="J149" s="171"/>
      <c r="K149" s="349"/>
      <c r="L149" s="368" t="s">
        <v>218</v>
      </c>
      <c r="M149" s="340">
        <v>23.4</v>
      </c>
      <c r="N149" s="652"/>
      <c r="O149" s="340">
        <v>23.4</v>
      </c>
      <c r="P149" s="655"/>
      <c r="Q149" s="342"/>
    </row>
    <row r="150" spans="1:17" s="244" customFormat="1" ht="266.25" customHeight="1">
      <c r="A150" s="232"/>
      <c r="B150" s="214"/>
      <c r="C150" s="172"/>
      <c r="D150" s="172"/>
      <c r="E150" s="172"/>
      <c r="F150" s="171"/>
      <c r="G150" s="172"/>
      <c r="H150" s="172"/>
      <c r="I150" s="172"/>
      <c r="J150" s="171"/>
      <c r="K150" s="349"/>
      <c r="L150" s="368" t="s">
        <v>248</v>
      </c>
      <c r="M150" s="340">
        <f>1807.97+1796.26+1253.8+0.48+2735.78</f>
        <v>7594.2899999999991</v>
      </c>
      <c r="N150" s="652"/>
      <c r="O150" s="340">
        <f>2000+1796.26+1253.8+0.48+2735.78+1042.85</f>
        <v>8829.17</v>
      </c>
      <c r="P150" s="655"/>
      <c r="Q150" s="343"/>
    </row>
    <row r="151" spans="1:17" s="244" customFormat="1" ht="127.5" customHeight="1">
      <c r="A151" s="232"/>
      <c r="B151" s="214"/>
      <c r="C151" s="172"/>
      <c r="D151" s="172"/>
      <c r="E151" s="172"/>
      <c r="F151" s="171"/>
      <c r="G151" s="172"/>
      <c r="H151" s="172"/>
      <c r="I151" s="172"/>
      <c r="J151" s="171"/>
      <c r="K151" s="349"/>
      <c r="L151" s="368" t="s">
        <v>251</v>
      </c>
      <c r="M151" s="340">
        <v>606.23</v>
      </c>
      <c r="N151" s="652"/>
      <c r="O151" s="340">
        <f>606.2+195.36+439.69+842.82</f>
        <v>2084.0700000000002</v>
      </c>
      <c r="P151" s="655"/>
      <c r="Q151" s="343"/>
    </row>
    <row r="152" spans="1:17" s="244" customFormat="1" ht="272.25" customHeight="1">
      <c r="A152" s="232"/>
      <c r="B152" s="214"/>
      <c r="C152" s="172"/>
      <c r="D152" s="172"/>
      <c r="E152" s="172"/>
      <c r="F152" s="171"/>
      <c r="G152" s="172"/>
      <c r="H152" s="172"/>
      <c r="I152" s="172"/>
      <c r="J152" s="171"/>
      <c r="K152" s="349"/>
      <c r="L152" s="368" t="s">
        <v>249</v>
      </c>
      <c r="M152" s="274">
        <f>4843.8+7957.8+2775.1+293.8+2100.7</f>
        <v>17971.2</v>
      </c>
      <c r="N152" s="652"/>
      <c r="O152" s="340">
        <f>4843.8+7957.8+2775.1+293.8+2100.7+1110.1</f>
        <v>19081.3</v>
      </c>
      <c r="P152" s="655"/>
      <c r="Q152" s="343"/>
    </row>
    <row r="153" spans="1:17" s="244" customFormat="1" ht="239.25" customHeight="1">
      <c r="A153" s="232"/>
      <c r="B153" s="214"/>
      <c r="C153" s="172"/>
      <c r="D153" s="172"/>
      <c r="E153" s="172"/>
      <c r="F153" s="172"/>
      <c r="G153" s="172"/>
      <c r="H153" s="172"/>
      <c r="I153" s="172"/>
      <c r="J153" s="172"/>
      <c r="K153" s="307"/>
      <c r="L153" s="368" t="s">
        <v>247</v>
      </c>
      <c r="M153" s="340">
        <f>99+162.4+56.6+6+42.9</f>
        <v>366.9</v>
      </c>
      <c r="N153" s="652"/>
      <c r="O153" s="340">
        <f>99+162.4+56.6+6+42.9+22.6</f>
        <v>389.5</v>
      </c>
      <c r="P153" s="655"/>
      <c r="Q153" s="343"/>
    </row>
    <row r="154" spans="1:17" s="244" customFormat="1" ht="161.25" customHeight="1">
      <c r="A154" s="232"/>
      <c r="B154" s="214"/>
      <c r="C154" s="172"/>
      <c r="D154" s="172"/>
      <c r="E154" s="172"/>
      <c r="F154" s="171"/>
      <c r="G154" s="172"/>
      <c r="H154" s="172"/>
      <c r="I154" s="172"/>
      <c r="J154" s="171"/>
      <c r="K154" s="349"/>
      <c r="L154" s="124" t="s">
        <v>250</v>
      </c>
      <c r="M154" s="340"/>
      <c r="N154" s="652"/>
      <c r="O154" s="273">
        <f>7500+599+517.27+459.09+178.62</f>
        <v>9253.9800000000014</v>
      </c>
      <c r="P154" s="656"/>
      <c r="Q154" s="343"/>
    </row>
    <row r="155" spans="1:17" s="244" customFormat="1" hidden="1">
      <c r="A155" s="232"/>
      <c r="B155" s="214"/>
      <c r="C155" s="172"/>
      <c r="D155" s="172"/>
      <c r="E155" s="172"/>
      <c r="F155" s="171"/>
      <c r="G155" s="172"/>
      <c r="H155" s="172"/>
      <c r="I155" s="172"/>
      <c r="J155" s="171"/>
      <c r="K155" s="349"/>
      <c r="L155" s="368"/>
      <c r="M155" s="340"/>
      <c r="N155" s="652"/>
      <c r="O155" s="252"/>
      <c r="P155" s="342"/>
      <c r="Q155" s="343"/>
    </row>
    <row r="156" spans="1:17" s="244" customFormat="1" hidden="1">
      <c r="A156" s="232"/>
      <c r="B156" s="214"/>
      <c r="C156" s="172"/>
      <c r="D156" s="172"/>
      <c r="E156" s="172"/>
      <c r="F156" s="171"/>
      <c r="G156" s="172"/>
      <c r="H156" s="172"/>
      <c r="I156" s="172"/>
      <c r="J156" s="171"/>
      <c r="K156" s="349"/>
      <c r="L156" s="124"/>
      <c r="M156" s="340"/>
      <c r="N156" s="652"/>
      <c r="O156" s="252"/>
      <c r="P156" s="342"/>
      <c r="Q156" s="343"/>
    </row>
    <row r="157" spans="1:17" s="244" customFormat="1" hidden="1">
      <c r="A157" s="232"/>
      <c r="B157" s="214"/>
      <c r="C157" s="172"/>
      <c r="D157" s="172"/>
      <c r="E157" s="172"/>
      <c r="F157" s="171"/>
      <c r="G157" s="172"/>
      <c r="H157" s="172"/>
      <c r="I157" s="172"/>
      <c r="J157" s="171"/>
      <c r="K157" s="349"/>
      <c r="L157" s="124"/>
      <c r="M157" s="340"/>
      <c r="N157" s="652"/>
      <c r="O157" s="252"/>
      <c r="P157" s="342"/>
      <c r="Q157" s="343"/>
    </row>
    <row r="158" spans="1:17" s="244" customFormat="1" hidden="1">
      <c r="A158" s="232"/>
      <c r="B158" s="214"/>
      <c r="C158" s="172"/>
      <c r="D158" s="172"/>
      <c r="E158" s="172"/>
      <c r="F158" s="171"/>
      <c r="G158" s="172"/>
      <c r="H158" s="172"/>
      <c r="I158" s="172"/>
      <c r="J158" s="171"/>
      <c r="K158" s="349"/>
      <c r="L158" s="124"/>
      <c r="M158" s="340"/>
      <c r="N158" s="652"/>
      <c r="O158" s="252"/>
      <c r="P158" s="342"/>
      <c r="Q158" s="343"/>
    </row>
    <row r="159" spans="1:17" s="244" customFormat="1" hidden="1">
      <c r="A159" s="232"/>
      <c r="B159" s="214"/>
      <c r="C159" s="172"/>
      <c r="D159" s="172"/>
      <c r="E159" s="172"/>
      <c r="F159" s="171"/>
      <c r="G159" s="172"/>
      <c r="H159" s="172"/>
      <c r="I159" s="172"/>
      <c r="J159" s="171"/>
      <c r="K159" s="349"/>
      <c r="L159" s="124"/>
      <c r="M159" s="340"/>
      <c r="N159" s="652"/>
      <c r="O159" s="252"/>
      <c r="P159" s="342"/>
      <c r="Q159" s="343"/>
    </row>
    <row r="160" spans="1:17" s="244" customFormat="1" ht="59.25" customHeight="1">
      <c r="A160" s="229" t="s">
        <v>44</v>
      </c>
      <c r="B160" s="300" t="s">
        <v>13</v>
      </c>
      <c r="C160" s="103">
        <v>932.4</v>
      </c>
      <c r="D160" s="103"/>
      <c r="E160" s="103"/>
      <c r="F160" s="104">
        <f>E160+D160+C160</f>
        <v>932.4</v>
      </c>
      <c r="G160" s="103">
        <v>932.4</v>
      </c>
      <c r="H160" s="103"/>
      <c r="I160" s="103"/>
      <c r="J160" s="104">
        <f>I160+H160+G160</f>
        <v>932.4</v>
      </c>
      <c r="K160" s="102">
        <f>J160*100/F160</f>
        <v>100</v>
      </c>
      <c r="L160" s="131" t="s">
        <v>212</v>
      </c>
      <c r="M160" s="273">
        <v>611.5</v>
      </c>
      <c r="N160" s="653"/>
      <c r="O160" s="252">
        <v>932.4</v>
      </c>
      <c r="P160" s="342">
        <f>J160-O160</f>
        <v>0</v>
      </c>
      <c r="Q160" s="343"/>
    </row>
    <row r="161" spans="1:18" s="244" customFormat="1" ht="113.25" customHeight="1">
      <c r="A161" s="351" t="s">
        <v>46</v>
      </c>
      <c r="B161" s="26" t="s">
        <v>30</v>
      </c>
      <c r="C161" s="363">
        <v>37492.400000000001</v>
      </c>
      <c r="D161" s="363">
        <v>124019.8</v>
      </c>
      <c r="E161" s="363"/>
      <c r="F161" s="363">
        <f>E161+D161+C161</f>
        <v>161512.20000000001</v>
      </c>
      <c r="G161" s="363">
        <f>36321.4-0.1</f>
        <v>36321.300000000003</v>
      </c>
      <c r="H161" s="363">
        <f>124007.2+0.1</f>
        <v>124007.3</v>
      </c>
      <c r="I161" s="363"/>
      <c r="J161" s="363">
        <f>SUM(G161:I161)</f>
        <v>160328.6</v>
      </c>
      <c r="K161" s="377">
        <f>J161*100/F161</f>
        <v>99.267176101867221</v>
      </c>
      <c r="L161" s="8" t="s">
        <v>300</v>
      </c>
      <c r="M161" s="353">
        <f>10429.1+2836.6+17.88+1+111.86+4.1+47.7+70.55+583.06+171.75+89.3+0.8</f>
        <v>14363.699999999999</v>
      </c>
      <c r="N161" s="634">
        <f>M161+M162+M163+M164+M165+M166+M168+M167</f>
        <v>118895.3</v>
      </c>
      <c r="O161" s="353">
        <f>13433.31+4025.84+30.99+1+158.38+4.1+47.7+79.6+863.32+445.06+90.4+7.2+1.6</f>
        <v>19188.500000000004</v>
      </c>
      <c r="P161" s="636">
        <f>O161+O162+O163+O164+O167+O168</f>
        <v>160328.6</v>
      </c>
      <c r="Q161" s="342">
        <f>J161-P161</f>
        <v>0</v>
      </c>
    </row>
    <row r="162" spans="1:18" s="244" customFormat="1" ht="70.5" customHeight="1">
      <c r="A162" s="77"/>
      <c r="B162" s="71"/>
      <c r="C162" s="171"/>
      <c r="D162" s="171"/>
      <c r="E162" s="171"/>
      <c r="F162" s="171"/>
      <c r="G162" s="171"/>
      <c r="H162" s="171"/>
      <c r="I162" s="171"/>
      <c r="J162" s="171"/>
      <c r="K162" s="349"/>
      <c r="L162" s="12" t="s">
        <v>306</v>
      </c>
      <c r="M162" s="340">
        <v>95040.2</v>
      </c>
      <c r="N162" s="635"/>
      <c r="O162" s="340">
        <v>122359</v>
      </c>
      <c r="P162" s="637"/>
      <c r="Q162" s="343"/>
    </row>
    <row r="163" spans="1:18" s="244" customFormat="1" ht="145.5" customHeight="1">
      <c r="A163" s="77"/>
      <c r="B163" s="71"/>
      <c r="C163" s="171"/>
      <c r="D163" s="171"/>
      <c r="E163" s="171"/>
      <c r="F163" s="171"/>
      <c r="G163" s="171"/>
      <c r="H163" s="171"/>
      <c r="I163" s="171"/>
      <c r="J163" s="171"/>
      <c r="K163" s="349"/>
      <c r="L163" s="12" t="s">
        <v>301</v>
      </c>
      <c r="M163" s="340">
        <f>5375+41.08+181.2+1526.71+69.2+19.97+130.15+25.16+22.75+41.65+5.29+0.44</f>
        <v>7438.5999999999985</v>
      </c>
      <c r="N163" s="635"/>
      <c r="O163" s="340">
        <f>7210.49+47.44+181.17+2245.87+84.4+73.36+165.58+62.59+130.35+55.28+5.29+0.88</f>
        <v>10262.700000000001</v>
      </c>
      <c r="P163" s="637"/>
      <c r="Q163" s="343"/>
    </row>
    <row r="164" spans="1:18" s="244" customFormat="1" ht="62.25" customHeight="1">
      <c r="A164" s="77"/>
      <c r="B164" s="71"/>
      <c r="C164" s="171"/>
      <c r="D164" s="171"/>
      <c r="E164" s="171"/>
      <c r="F164" s="171"/>
      <c r="G164" s="171"/>
      <c r="H164" s="171"/>
      <c r="I164" s="171"/>
      <c r="J164" s="171"/>
      <c r="K164" s="349"/>
      <c r="L164" s="12" t="s">
        <v>303</v>
      </c>
      <c r="M164" s="340">
        <v>512.79999999999995</v>
      </c>
      <c r="N164" s="635"/>
      <c r="O164" s="639">
        <f>720.5+771+15</f>
        <v>1506.5</v>
      </c>
      <c r="P164" s="637"/>
      <c r="Q164" s="343"/>
    </row>
    <row r="165" spans="1:18" s="244" customFormat="1" ht="39.75" customHeight="1">
      <c r="A165" s="77"/>
      <c r="B165" s="71"/>
      <c r="C165" s="171"/>
      <c r="D165" s="171"/>
      <c r="E165" s="171"/>
      <c r="F165" s="171"/>
      <c r="G165" s="171"/>
      <c r="H165" s="171"/>
      <c r="I165" s="171"/>
      <c r="J165" s="171"/>
      <c r="K165" s="349"/>
      <c r="L165" s="12" t="s">
        <v>302</v>
      </c>
      <c r="M165" s="340">
        <v>563.20000000000005</v>
      </c>
      <c r="N165" s="278"/>
      <c r="O165" s="639"/>
      <c r="P165" s="637"/>
      <c r="Q165" s="343"/>
    </row>
    <row r="166" spans="1:18" s="244" customFormat="1" ht="41.25" customHeight="1">
      <c r="A166" s="77"/>
      <c r="B166" s="71"/>
      <c r="C166" s="171"/>
      <c r="D166" s="171"/>
      <c r="E166" s="171"/>
      <c r="F166" s="171"/>
      <c r="G166" s="171"/>
      <c r="H166" s="171"/>
      <c r="I166" s="171"/>
      <c r="J166" s="171"/>
      <c r="K166" s="349"/>
      <c r="L166" s="12" t="s">
        <v>98</v>
      </c>
      <c r="M166" s="340">
        <v>15</v>
      </c>
      <c r="N166" s="278"/>
      <c r="O166" s="639"/>
      <c r="P166" s="637"/>
      <c r="Q166" s="343"/>
    </row>
    <row r="167" spans="1:18" s="244" customFormat="1" ht="79.5" customHeight="1">
      <c r="A167" s="77"/>
      <c r="B167" s="71"/>
      <c r="C167" s="171"/>
      <c r="D167" s="171"/>
      <c r="E167" s="171"/>
      <c r="F167" s="171"/>
      <c r="G167" s="171"/>
      <c r="H167" s="171"/>
      <c r="I167" s="171"/>
      <c r="J167" s="171"/>
      <c r="K167" s="349"/>
      <c r="L167" s="71" t="s">
        <v>304</v>
      </c>
      <c r="M167" s="340">
        <v>869</v>
      </c>
      <c r="N167" s="278"/>
      <c r="O167" s="340">
        <v>6867.1</v>
      </c>
      <c r="P167" s="637"/>
      <c r="Q167" s="343"/>
    </row>
    <row r="168" spans="1:18" s="244" customFormat="1" ht="97.5" customHeight="1">
      <c r="A168" s="222"/>
      <c r="B168" s="28"/>
      <c r="C168" s="366"/>
      <c r="D168" s="366"/>
      <c r="E168" s="366"/>
      <c r="F168" s="366"/>
      <c r="G168" s="366"/>
      <c r="H168" s="366"/>
      <c r="I168" s="366"/>
      <c r="J168" s="366"/>
      <c r="K168" s="350"/>
      <c r="L168" s="28" t="s">
        <v>305</v>
      </c>
      <c r="M168" s="273">
        <f>57.9+11.5+8+14.4+1</f>
        <v>92.800000000000011</v>
      </c>
      <c r="N168" s="279"/>
      <c r="O168" s="273">
        <f>73.5+11.5+10.4+14.4+4.9+20.6+9.5</f>
        <v>144.80000000000001</v>
      </c>
      <c r="P168" s="638"/>
      <c r="Q168" s="343"/>
    </row>
    <row r="169" spans="1:18" s="244" customFormat="1" ht="108.75" customHeight="1">
      <c r="A169" s="233" t="s">
        <v>47</v>
      </c>
      <c r="B169" s="162" t="s">
        <v>78</v>
      </c>
      <c r="C169" s="104">
        <v>390</v>
      </c>
      <c r="D169" s="104">
        <v>235.2</v>
      </c>
      <c r="E169" s="104">
        <v>2116</v>
      </c>
      <c r="F169" s="104">
        <f>C169+D169+E169</f>
        <v>2741.2</v>
      </c>
      <c r="G169" s="104">
        <v>390</v>
      </c>
      <c r="H169" s="104">
        <v>235.2</v>
      </c>
      <c r="I169" s="104">
        <v>2116</v>
      </c>
      <c r="J169" s="104">
        <f>I169+H169+G169</f>
        <v>2741.2</v>
      </c>
      <c r="K169" s="102">
        <f>J169*100/F169</f>
        <v>100</v>
      </c>
      <c r="L169" s="131" t="s">
        <v>215</v>
      </c>
      <c r="M169" s="252">
        <v>2741.2</v>
      </c>
      <c r="N169" s="219"/>
      <c r="O169" s="252">
        <v>2741.2</v>
      </c>
      <c r="P169" s="342"/>
      <c r="Q169" s="343"/>
    </row>
    <row r="170" spans="1:18" s="244" customFormat="1" ht="251.25" customHeight="1">
      <c r="A170" s="640" t="s">
        <v>49</v>
      </c>
      <c r="B170" s="604" t="s">
        <v>87</v>
      </c>
      <c r="C170" s="363">
        <v>3684.9</v>
      </c>
      <c r="D170" s="363">
        <v>652</v>
      </c>
      <c r="E170" s="363"/>
      <c r="F170" s="363">
        <f>E170+D170+C170</f>
        <v>4336.8999999999996</v>
      </c>
      <c r="G170" s="643">
        <v>3105.1</v>
      </c>
      <c r="H170" s="643">
        <v>648.6</v>
      </c>
      <c r="I170" s="645"/>
      <c r="J170" s="643">
        <f>I170+H170+G170</f>
        <v>3753.7</v>
      </c>
      <c r="K170" s="647">
        <f>J170*100/F170</f>
        <v>86.552606700638719</v>
      </c>
      <c r="L170" s="123" t="s">
        <v>314</v>
      </c>
      <c r="M170" s="353">
        <f>152.6+73.5+1208.5+2.5+37.2+7.5+71.3+3.9+205.2+0.1</f>
        <v>1762.3</v>
      </c>
      <c r="N170" s="634">
        <f>M170+M171</f>
        <v>2234.1999999999998</v>
      </c>
      <c r="O170" s="353">
        <f>1646.51+367.26+184.4+205.2+610.8+0.4+10.17+2.16+1.5+5.4+71.3</f>
        <v>3105.1000000000004</v>
      </c>
      <c r="P170" s="626">
        <f>O170+O171</f>
        <v>3753.7000000000003</v>
      </c>
      <c r="Q170" s="650">
        <f>J170-P170</f>
        <v>0</v>
      </c>
    </row>
    <row r="171" spans="1:18" s="244" customFormat="1" ht="42" customHeight="1">
      <c r="A171" s="641"/>
      <c r="B171" s="642"/>
      <c r="C171" s="366"/>
      <c r="D171" s="366"/>
      <c r="E171" s="366"/>
      <c r="F171" s="366"/>
      <c r="G171" s="644"/>
      <c r="H171" s="644"/>
      <c r="I171" s="646"/>
      <c r="J171" s="644"/>
      <c r="K171" s="648"/>
      <c r="L171" s="378" t="s">
        <v>344</v>
      </c>
      <c r="M171" s="273">
        <v>471.9</v>
      </c>
      <c r="N171" s="649"/>
      <c r="O171" s="273">
        <v>648.6</v>
      </c>
      <c r="P171" s="628"/>
      <c r="Q171" s="650"/>
    </row>
    <row r="172" spans="1:18" s="244" customFormat="1" ht="120" customHeight="1">
      <c r="A172" s="228" t="s">
        <v>50</v>
      </c>
      <c r="B172" s="162" t="s">
        <v>79</v>
      </c>
      <c r="C172" s="104">
        <f t="shared" ref="C172:J172" si="5">C173+C178+C179</f>
        <v>34068.5</v>
      </c>
      <c r="D172" s="104">
        <f t="shared" si="5"/>
        <v>17361.3</v>
      </c>
      <c r="E172" s="104">
        <f t="shared" si="5"/>
        <v>0</v>
      </c>
      <c r="F172" s="104">
        <f t="shared" si="5"/>
        <v>51429.8</v>
      </c>
      <c r="G172" s="104">
        <f t="shared" si="5"/>
        <v>33013.1</v>
      </c>
      <c r="H172" s="104">
        <f t="shared" si="5"/>
        <v>5666.6</v>
      </c>
      <c r="I172" s="104">
        <f t="shared" si="5"/>
        <v>0</v>
      </c>
      <c r="J172" s="104">
        <f t="shared" si="5"/>
        <v>38679.699999999997</v>
      </c>
      <c r="K172" s="102">
        <f t="shared" ref="K172:K180" si="6">J172*100/F172</f>
        <v>75.208731124756454</v>
      </c>
      <c r="L172" s="308"/>
      <c r="M172" s="353"/>
      <c r="N172" s="289">
        <f>M173+M175+M179</f>
        <v>13318.800000000001</v>
      </c>
      <c r="O172" s="252"/>
      <c r="P172" s="342"/>
      <c r="Q172" s="343"/>
    </row>
    <row r="173" spans="1:18" s="244" customFormat="1" ht="90" customHeight="1">
      <c r="A173" s="231" t="s">
        <v>51</v>
      </c>
      <c r="B173" s="97" t="s">
        <v>14</v>
      </c>
      <c r="C173" s="364">
        <v>16900.2</v>
      </c>
      <c r="D173" s="364">
        <v>17361.3</v>
      </c>
      <c r="E173" s="364"/>
      <c r="F173" s="363">
        <f>E173+D173+C173</f>
        <v>34261.5</v>
      </c>
      <c r="G173" s="364">
        <v>16661.599999999999</v>
      </c>
      <c r="H173" s="364">
        <v>5666.6</v>
      </c>
      <c r="I173" s="364"/>
      <c r="J173" s="363">
        <f>I173+H173+G173</f>
        <v>22328.199999999997</v>
      </c>
      <c r="K173" s="377">
        <f t="shared" si="6"/>
        <v>65.169942938867223</v>
      </c>
      <c r="L173" s="8" t="s">
        <v>245</v>
      </c>
      <c r="M173" s="274">
        <f>38.1+140+20</f>
        <v>198.1</v>
      </c>
      <c r="N173" s="278"/>
      <c r="O173" s="353">
        <v>110.2</v>
      </c>
      <c r="P173" s="626">
        <f>O173+O174+O175+O176</f>
        <v>22328.2</v>
      </c>
      <c r="Q173" s="342"/>
      <c r="R173" s="269"/>
    </row>
    <row r="174" spans="1:18" s="244" customFormat="1" ht="168" customHeight="1">
      <c r="A174" s="232"/>
      <c r="B174" s="227"/>
      <c r="C174" s="172"/>
      <c r="D174" s="172"/>
      <c r="E174" s="172"/>
      <c r="F174" s="171"/>
      <c r="G174" s="172"/>
      <c r="H174" s="172"/>
      <c r="I174" s="172"/>
      <c r="J174" s="171"/>
      <c r="K174" s="349"/>
      <c r="L174" s="12" t="s">
        <v>246</v>
      </c>
      <c r="M174" s="274"/>
      <c r="N174" s="278"/>
      <c r="O174" s="340">
        <f>73.4+292.3+140+20</f>
        <v>525.70000000000005</v>
      </c>
      <c r="P174" s="627"/>
      <c r="Q174" s="342">
        <f>J173-P173</f>
        <v>0</v>
      </c>
      <c r="R174" s="269"/>
    </row>
    <row r="175" spans="1:18" s="244" customFormat="1" ht="67.5" customHeight="1">
      <c r="A175" s="232"/>
      <c r="B175" s="227"/>
      <c r="C175" s="172"/>
      <c r="D175" s="172"/>
      <c r="E175" s="172"/>
      <c r="F175" s="171"/>
      <c r="G175" s="172"/>
      <c r="H175" s="172"/>
      <c r="I175" s="172"/>
      <c r="J175" s="171"/>
      <c r="K175" s="349"/>
      <c r="L175" s="71" t="s">
        <v>315</v>
      </c>
      <c r="M175" s="340">
        <v>1345</v>
      </c>
      <c r="N175" s="278"/>
      <c r="O175" s="331">
        <v>15910</v>
      </c>
      <c r="P175" s="627"/>
      <c r="Q175" s="343"/>
    </row>
    <row r="176" spans="1:18" s="244" customFormat="1" ht="110.25" customHeight="1">
      <c r="A176" s="232"/>
      <c r="B176" s="227"/>
      <c r="C176" s="172"/>
      <c r="D176" s="172"/>
      <c r="E176" s="172"/>
      <c r="F176" s="171"/>
      <c r="G176" s="172"/>
      <c r="H176" s="172"/>
      <c r="I176" s="172"/>
      <c r="J176" s="171"/>
      <c r="K176" s="349"/>
      <c r="L176" s="71" t="s">
        <v>270</v>
      </c>
      <c r="M176" s="340"/>
      <c r="N176" s="278"/>
      <c r="O176" s="273">
        <f>4704+1078.3</f>
        <v>5782.3</v>
      </c>
      <c r="P176" s="628"/>
      <c r="Q176" s="343"/>
    </row>
    <row r="177" spans="1:26" s="244" customFormat="1" ht="69" hidden="1" customHeight="1">
      <c r="A177" s="234"/>
      <c r="B177" s="235"/>
      <c r="C177" s="367"/>
      <c r="D177" s="367"/>
      <c r="E177" s="367"/>
      <c r="F177" s="366"/>
      <c r="G177" s="367"/>
      <c r="H177" s="367"/>
      <c r="I177" s="367"/>
      <c r="J177" s="366"/>
      <c r="K177" s="350"/>
      <c r="L177" s="28"/>
      <c r="M177" s="340"/>
      <c r="N177" s="278"/>
      <c r="O177" s="252"/>
      <c r="P177" s="342"/>
      <c r="Q177" s="343"/>
    </row>
    <row r="178" spans="1:26" hidden="1">
      <c r="A178" s="229" t="s">
        <v>52</v>
      </c>
      <c r="B178" s="226" t="s">
        <v>15</v>
      </c>
      <c r="C178" s="103"/>
      <c r="D178" s="103"/>
      <c r="E178" s="103"/>
      <c r="F178" s="104">
        <f>C178+D178+E178</f>
        <v>0</v>
      </c>
      <c r="G178" s="103"/>
      <c r="H178" s="103"/>
      <c r="I178" s="103"/>
      <c r="J178" s="104">
        <f>I178+H178+G178</f>
        <v>0</v>
      </c>
      <c r="K178" s="102">
        <v>0</v>
      </c>
      <c r="L178" s="140"/>
      <c r="M178" s="340"/>
      <c r="N178" s="278"/>
    </row>
    <row r="179" spans="1:26" ht="151.5" customHeight="1">
      <c r="A179" s="230" t="s">
        <v>52</v>
      </c>
      <c r="B179" s="226" t="s">
        <v>5</v>
      </c>
      <c r="C179" s="103">
        <v>17168.3</v>
      </c>
      <c r="D179" s="103"/>
      <c r="E179" s="103"/>
      <c r="F179" s="104">
        <f>E179+D179+C179</f>
        <v>17168.3</v>
      </c>
      <c r="G179" s="103">
        <v>16351.5</v>
      </c>
      <c r="H179" s="103"/>
      <c r="I179" s="103"/>
      <c r="J179" s="104">
        <f>I179+H179+G179</f>
        <v>16351.5</v>
      </c>
      <c r="K179" s="102">
        <f t="shared" si="6"/>
        <v>95.242394412958774</v>
      </c>
      <c r="L179" s="113" t="s">
        <v>244</v>
      </c>
      <c r="M179" s="273">
        <f>8128.45+41.23+2+2331.96+81.6+206.1+77.1+417.1+153.1+243.1+88.56+2.3+3.1</f>
        <v>11775.7</v>
      </c>
      <c r="N179" s="279"/>
      <c r="O179" s="252">
        <f>11042.12+56.7+4+3526.02+108.66+254.7+129.08+631.72+166.43+243.1+170.33+2.29+12.35+4</f>
        <v>16351.500000000004</v>
      </c>
      <c r="P179" s="342">
        <f>J179-O179</f>
        <v>0</v>
      </c>
    </row>
    <row r="180" spans="1:26" ht="72.75" customHeight="1">
      <c r="A180" s="215" t="s">
        <v>53</v>
      </c>
      <c r="B180" s="257" t="s">
        <v>80</v>
      </c>
      <c r="C180" s="104">
        <v>50</v>
      </c>
      <c r="D180" s="104"/>
      <c r="E180" s="104"/>
      <c r="F180" s="104">
        <f>E180+D180+C180</f>
        <v>50</v>
      </c>
      <c r="G180" s="104">
        <v>50</v>
      </c>
      <c r="H180" s="104"/>
      <c r="I180" s="104"/>
      <c r="J180" s="104">
        <f>SUM(G180:I180)</f>
        <v>50</v>
      </c>
      <c r="K180" s="102">
        <f t="shared" si="6"/>
        <v>100</v>
      </c>
      <c r="L180" s="113" t="s">
        <v>316</v>
      </c>
      <c r="O180" s="252">
        <v>50</v>
      </c>
      <c r="P180" s="342">
        <f>J180-O180</f>
        <v>0</v>
      </c>
    </row>
    <row r="181" spans="1:26" s="237" customFormat="1" ht="40.5" customHeight="1">
      <c r="A181" s="629" t="s">
        <v>54</v>
      </c>
      <c r="B181" s="630"/>
      <c r="C181" s="283">
        <f t="shared" ref="C181:J181" si="7">C147+C172+C170+C131+C169+C137+C138+C68+C120+C143+C106+C70+C18+C161+C180+C17+C7</f>
        <v>779892.29999999993</v>
      </c>
      <c r="D181" s="283">
        <f t="shared" si="7"/>
        <v>1152305.3</v>
      </c>
      <c r="E181" s="283">
        <f t="shared" si="7"/>
        <v>120225.4</v>
      </c>
      <c r="F181" s="283">
        <f t="shared" si="7"/>
        <v>2052422.9999999998</v>
      </c>
      <c r="G181" s="283">
        <f>G147+G172+G170+G131+G169+G137+G138+G68+G120+G143+G106+G70+G18+G161+G180+G17+G7</f>
        <v>709081.59999999998</v>
      </c>
      <c r="H181" s="283">
        <f t="shared" si="7"/>
        <v>1109925</v>
      </c>
      <c r="I181" s="283">
        <f t="shared" si="7"/>
        <v>118970.90000000001</v>
      </c>
      <c r="J181" s="283">
        <f t="shared" si="7"/>
        <v>1937977.5000000002</v>
      </c>
      <c r="K181" s="248">
        <f>J181/F181*100</f>
        <v>94.423883380765091</v>
      </c>
      <c r="L181" s="236"/>
      <c r="M181" s="252"/>
      <c r="N181" s="219"/>
      <c r="O181" s="252"/>
      <c r="P181" s="342"/>
      <c r="Q181" s="343"/>
      <c r="R181" s="271"/>
      <c r="S181" s="271"/>
      <c r="T181" s="271"/>
      <c r="U181" s="271"/>
      <c r="V181" s="271"/>
      <c r="W181" s="271"/>
      <c r="X181" s="271"/>
      <c r="Y181" s="271"/>
      <c r="Z181" s="271"/>
    </row>
    <row r="182" spans="1:26" s="237" customFormat="1" ht="40.5" hidden="1" customHeight="1">
      <c r="A182" s="238"/>
      <c r="B182" s="238"/>
      <c r="C182" s="284">
        <v>748770.2</v>
      </c>
      <c r="D182" s="284">
        <v>880402.6</v>
      </c>
      <c r="E182" s="284">
        <v>260171.6</v>
      </c>
      <c r="F182" s="284">
        <v>1889344.3</v>
      </c>
      <c r="G182" s="284">
        <v>335269.2</v>
      </c>
      <c r="H182" s="284">
        <v>377485.6</v>
      </c>
      <c r="I182" s="284">
        <v>80128.600000000006</v>
      </c>
      <c r="J182" s="284">
        <v>792883.4</v>
      </c>
      <c r="K182" s="249"/>
      <c r="L182" s="239"/>
      <c r="M182" s="252"/>
      <c r="N182" s="219"/>
      <c r="O182" s="252"/>
      <c r="P182" s="342"/>
      <c r="Q182" s="343"/>
      <c r="R182" s="271"/>
      <c r="S182" s="271"/>
      <c r="T182" s="271"/>
      <c r="U182" s="271"/>
      <c r="V182" s="271"/>
      <c r="W182" s="271"/>
      <c r="X182" s="271"/>
      <c r="Y182" s="271"/>
      <c r="Z182" s="271"/>
    </row>
    <row r="183" spans="1:26" s="237" customFormat="1" ht="108.75" hidden="1" customHeight="1">
      <c r="A183" s="238"/>
      <c r="B183" s="238"/>
      <c r="C183" s="284">
        <f>14175.4+48+393503.9+5051.2+102635.5+14833.7+13008.7+28368.7+21+198+1802.5+28261.1+41163.9+390+4079.5+101122+107</f>
        <v>748770.1</v>
      </c>
      <c r="D183" s="284">
        <f>2011.3+625383.9+455+471.9+1464.7+96572+3513+2000+20000+111027.6+192.7+523+16787.4</f>
        <v>880402.5</v>
      </c>
      <c r="E183" s="284">
        <f>230.6+71229.3+165.8+115303+11061.5+737.8+61443.6</f>
        <v>260171.6</v>
      </c>
      <c r="F183" s="284">
        <f>16417.3+48+1090117.1+5506.2+103273.2+131601.4+120642.2+31881.7+21+198+3802.5+48261.1+152191.5+1320.5+4602.5+179353+107</f>
        <v>1889344.2</v>
      </c>
      <c r="G183" s="284">
        <f>5825.1+35.2+181824.6+2660.1+45161+5746.8+6852.4+8306.2+6.1+6.9+809.7+1488.2+69577.5+1403.3+5566</f>
        <v>335269.10000000003</v>
      </c>
      <c r="H183" s="284">
        <f>757.9+330096.2+157.6+206.7+501+41396.2+1000+772.2+323.6+2274.2</f>
        <v>377485.60000000003</v>
      </c>
      <c r="I183" s="284">
        <f>230.6+32492.7+165.8+19899.9+9396+17943.6</f>
        <v>80128.600000000006</v>
      </c>
      <c r="J183" s="284">
        <f>6813.6+35.2+544413.5+2817.7+45533.5+26147.7+57644.6+8306.2+6.1+6.9+1809.7+1488.2+70349.7+1726.9+25783.8</f>
        <v>792883.29999999981</v>
      </c>
      <c r="K183" s="249"/>
      <c r="L183" s="239"/>
      <c r="M183" s="252"/>
      <c r="N183" s="219"/>
      <c r="O183" s="252"/>
      <c r="P183" s="342"/>
      <c r="Q183" s="343"/>
      <c r="R183" s="271"/>
      <c r="S183" s="271"/>
      <c r="T183" s="271"/>
      <c r="U183" s="271"/>
      <c r="V183" s="271"/>
      <c r="W183" s="271"/>
      <c r="X183" s="271"/>
      <c r="Y183" s="271"/>
      <c r="Z183" s="271"/>
    </row>
    <row r="184" spans="1:26" hidden="1">
      <c r="A184" s="240"/>
      <c r="B184" s="241"/>
      <c r="C184" s="285">
        <f>C183-C181</f>
        <v>-31122.199999999953</v>
      </c>
      <c r="D184" s="285">
        <f t="shared" ref="D184:J184" si="8">D183-D181</f>
        <v>-271902.80000000005</v>
      </c>
      <c r="E184" s="285">
        <f t="shared" si="8"/>
        <v>139946.20000000001</v>
      </c>
      <c r="F184" s="285">
        <f t="shared" si="8"/>
        <v>-163078.79999999981</v>
      </c>
      <c r="G184" s="285">
        <f t="shared" si="8"/>
        <v>-373812.49999999994</v>
      </c>
      <c r="H184" s="285">
        <f t="shared" si="8"/>
        <v>-732439.39999999991</v>
      </c>
      <c r="I184" s="285">
        <f t="shared" si="8"/>
        <v>-38842.300000000003</v>
      </c>
      <c r="J184" s="285">
        <f t="shared" si="8"/>
        <v>-1145094.2000000004</v>
      </c>
      <c r="K184" s="250"/>
      <c r="L184" s="240"/>
    </row>
    <row r="185" spans="1:26" ht="27.75" hidden="1" customHeight="1">
      <c r="A185" s="240"/>
      <c r="B185" s="241"/>
      <c r="C185" s="285"/>
      <c r="D185" s="285"/>
      <c r="E185" s="285"/>
      <c r="F185" s="285"/>
      <c r="G185" s="285"/>
      <c r="H185" s="285"/>
      <c r="I185" s="285"/>
      <c r="J185" s="285"/>
      <c r="K185" s="250"/>
      <c r="L185" s="240"/>
    </row>
    <row r="186" spans="1:26" ht="27.75" hidden="1" customHeight="1">
      <c r="A186" s="240"/>
      <c r="B186" s="241"/>
      <c r="C186" s="285"/>
      <c r="D186" s="285"/>
      <c r="E186" s="285"/>
      <c r="F186" s="285"/>
      <c r="G186" s="285"/>
      <c r="H186" s="285"/>
      <c r="I186" s="285"/>
      <c r="J186" s="285"/>
      <c r="K186" s="246"/>
      <c r="L186" s="240"/>
    </row>
    <row r="187" spans="1:26" ht="27.75" customHeight="1">
      <c r="A187" s="240"/>
      <c r="B187" s="241"/>
      <c r="C187" s="284">
        <v>779892.3</v>
      </c>
      <c r="D187" s="284">
        <v>1152305.3</v>
      </c>
      <c r="E187" s="284">
        <v>120225.4</v>
      </c>
      <c r="F187" s="284">
        <f>C187+D187+E187</f>
        <v>2052423</v>
      </c>
      <c r="G187" s="284">
        <v>709081.59999999998</v>
      </c>
      <c r="H187" s="284">
        <v>1109925</v>
      </c>
      <c r="I187" s="284">
        <v>118970.9</v>
      </c>
      <c r="J187" s="284">
        <f>G187+H187+I187</f>
        <v>1937977.5</v>
      </c>
      <c r="K187" s="246"/>
      <c r="L187" s="240"/>
    </row>
    <row r="188" spans="1:26" ht="27.75" customHeight="1">
      <c r="A188" s="240"/>
      <c r="B188" s="241"/>
      <c r="C188" s="330">
        <f>C187-C181</f>
        <v>0</v>
      </c>
      <c r="D188" s="330">
        <f>D187-D181</f>
        <v>0</v>
      </c>
      <c r="E188" s="330">
        <f t="shared" ref="E188" si="9">E187-E181</f>
        <v>0</v>
      </c>
      <c r="F188" s="330">
        <f>F187-F181</f>
        <v>0</v>
      </c>
      <c r="G188" s="330">
        <f>G187-G181</f>
        <v>0</v>
      </c>
      <c r="H188" s="330">
        <f>H187-H181</f>
        <v>0</v>
      </c>
      <c r="I188" s="330">
        <f>I187-I181</f>
        <v>0</v>
      </c>
      <c r="J188" s="330">
        <f>J187-J181</f>
        <v>0</v>
      </c>
      <c r="K188" s="246"/>
      <c r="L188" s="240"/>
    </row>
    <row r="189" spans="1:26" ht="82.5" customHeight="1">
      <c r="A189" s="310" t="s">
        <v>214</v>
      </c>
      <c r="B189" s="310"/>
      <c r="C189" s="311"/>
      <c r="D189" s="311"/>
      <c r="E189" s="311"/>
      <c r="F189" s="311"/>
      <c r="G189" s="311"/>
      <c r="H189" s="311"/>
      <c r="I189" s="311"/>
      <c r="J189" s="311"/>
      <c r="K189" s="312"/>
      <c r="L189" s="313"/>
    </row>
    <row r="190" spans="1:26" ht="27">
      <c r="A190" s="314" t="s">
        <v>55</v>
      </c>
      <c r="B190" s="314"/>
      <c r="C190" s="315"/>
      <c r="D190" s="311"/>
      <c r="E190" s="311"/>
      <c r="F190" s="311"/>
      <c r="G190" s="311"/>
      <c r="H190" s="311"/>
      <c r="I190" s="311"/>
      <c r="J190" s="311"/>
      <c r="K190" s="312"/>
      <c r="L190" s="313"/>
    </row>
    <row r="191" spans="1:26" ht="27">
      <c r="A191" s="316" t="s">
        <v>152</v>
      </c>
      <c r="B191" s="316"/>
      <c r="C191" s="317"/>
      <c r="D191" s="379"/>
      <c r="E191" s="380"/>
      <c r="F191" s="318"/>
      <c r="G191" s="319"/>
      <c r="H191" s="319"/>
      <c r="I191" s="319"/>
      <c r="J191" s="318"/>
      <c r="K191" s="320"/>
      <c r="L191" s="321" t="s">
        <v>56</v>
      </c>
    </row>
    <row r="192" spans="1:26" ht="27">
      <c r="A192" s="322"/>
      <c r="B192" s="323"/>
      <c r="C192" s="319"/>
      <c r="D192" s="380"/>
      <c r="E192" s="380"/>
      <c r="F192" s="318"/>
      <c r="G192" s="319"/>
      <c r="H192" s="319"/>
      <c r="I192" s="319"/>
      <c r="J192" s="318"/>
      <c r="K192" s="320"/>
      <c r="L192" s="322"/>
    </row>
    <row r="193" spans="1:26" ht="48.75" customHeight="1">
      <c r="A193" s="322"/>
      <c r="B193" s="322"/>
      <c r="C193" s="319"/>
      <c r="D193" s="380"/>
      <c r="E193" s="380"/>
      <c r="F193" s="318"/>
      <c r="G193" s="319"/>
      <c r="H193" s="319"/>
      <c r="I193" s="319"/>
      <c r="J193" s="318"/>
      <c r="K193" s="320"/>
      <c r="L193" s="324"/>
    </row>
    <row r="194" spans="1:26">
      <c r="A194" s="205" t="s">
        <v>57</v>
      </c>
      <c r="D194" s="381"/>
      <c r="E194" s="381"/>
      <c r="L194" s="242"/>
    </row>
    <row r="195" spans="1:26" hidden="1">
      <c r="A195" s="205" t="s">
        <v>70</v>
      </c>
      <c r="D195" s="381"/>
      <c r="E195" s="381"/>
      <c r="L195" s="242"/>
    </row>
    <row r="196" spans="1:26" s="252" customFormat="1" hidden="1">
      <c r="A196" s="205" t="s">
        <v>71</v>
      </c>
      <c r="B196" s="205"/>
      <c r="C196" s="280"/>
      <c r="D196" s="381"/>
      <c r="E196" s="381"/>
      <c r="F196" s="281"/>
      <c r="G196" s="280"/>
      <c r="H196" s="280"/>
      <c r="I196" s="280"/>
      <c r="J196" s="281"/>
      <c r="K196" s="251"/>
      <c r="L196" s="242"/>
      <c r="N196" s="219"/>
      <c r="P196" s="342"/>
      <c r="Q196" s="343"/>
      <c r="R196" s="244"/>
      <c r="S196" s="244"/>
      <c r="T196" s="244"/>
      <c r="U196" s="244"/>
      <c r="V196" s="244"/>
      <c r="W196" s="244"/>
      <c r="X196" s="244"/>
      <c r="Y196" s="244"/>
      <c r="Z196" s="244"/>
    </row>
    <row r="197" spans="1:26" s="252" customFormat="1" ht="24.75" customHeight="1">
      <c r="A197" s="633" t="s">
        <v>110</v>
      </c>
      <c r="B197" s="633"/>
      <c r="C197" s="280"/>
      <c r="D197" s="381"/>
      <c r="E197" s="381"/>
      <c r="F197" s="281"/>
      <c r="G197" s="280"/>
      <c r="H197" s="280"/>
      <c r="I197" s="280"/>
      <c r="J197" s="281"/>
      <c r="K197" s="251"/>
      <c r="L197" s="243"/>
      <c r="N197" s="219"/>
      <c r="P197" s="342"/>
      <c r="Q197" s="343"/>
      <c r="R197" s="244"/>
      <c r="S197" s="244"/>
      <c r="T197" s="244"/>
      <c r="U197" s="244"/>
      <c r="V197" s="244"/>
      <c r="W197" s="244"/>
      <c r="X197" s="244"/>
      <c r="Y197" s="244"/>
      <c r="Z197" s="244"/>
    </row>
    <row r="198" spans="1:26" s="252" customFormat="1">
      <c r="A198" s="205"/>
      <c r="B198" s="205"/>
      <c r="C198" s="280"/>
      <c r="D198" s="381"/>
      <c r="E198" s="381"/>
      <c r="F198" s="281"/>
      <c r="G198" s="280"/>
      <c r="H198" s="280"/>
      <c r="I198" s="280"/>
      <c r="J198" s="281"/>
      <c r="K198" s="251"/>
      <c r="L198" s="205"/>
      <c r="N198" s="219"/>
      <c r="P198" s="342"/>
      <c r="Q198" s="343"/>
      <c r="R198" s="244"/>
      <c r="S198" s="244"/>
      <c r="T198" s="244"/>
      <c r="U198" s="244"/>
      <c r="V198" s="244"/>
      <c r="W198" s="244"/>
      <c r="X198" s="244"/>
      <c r="Y198" s="244"/>
      <c r="Z198" s="244"/>
    </row>
    <row r="199" spans="1:26" s="252" customFormat="1">
      <c r="A199" s="205"/>
      <c r="B199" s="205"/>
      <c r="C199" s="280"/>
      <c r="D199" s="381"/>
      <c r="E199" s="381"/>
      <c r="F199" s="281"/>
      <c r="G199" s="280"/>
      <c r="H199" s="280"/>
      <c r="I199" s="280"/>
      <c r="J199" s="281"/>
      <c r="K199" s="251"/>
      <c r="L199" s="205"/>
      <c r="N199" s="219"/>
      <c r="P199" s="342"/>
      <c r="Q199" s="343"/>
      <c r="R199" s="244"/>
      <c r="S199" s="244"/>
      <c r="T199" s="244"/>
      <c r="U199" s="244"/>
      <c r="V199" s="244"/>
      <c r="W199" s="244"/>
      <c r="X199" s="244"/>
      <c r="Y199" s="244"/>
      <c r="Z199" s="244"/>
    </row>
    <row r="200" spans="1:26" s="252" customFormat="1">
      <c r="A200" s="205"/>
      <c r="B200" s="205"/>
      <c r="C200" s="280"/>
      <c r="D200" s="381"/>
      <c r="E200" s="381"/>
      <c r="F200" s="281"/>
      <c r="G200" s="280"/>
      <c r="H200" s="280"/>
      <c r="I200" s="280"/>
      <c r="J200" s="281"/>
      <c r="K200" s="251"/>
      <c r="L200" s="242"/>
      <c r="N200" s="219"/>
      <c r="P200" s="342"/>
      <c r="Q200" s="343"/>
      <c r="R200" s="244"/>
      <c r="S200" s="244"/>
      <c r="T200" s="244"/>
      <c r="U200" s="244"/>
      <c r="V200" s="244"/>
      <c r="W200" s="244"/>
      <c r="X200" s="244"/>
      <c r="Y200" s="244"/>
      <c r="Z200" s="244"/>
    </row>
    <row r="201" spans="1:26" s="252" customFormat="1">
      <c r="A201" s="205"/>
      <c r="B201" s="205"/>
      <c r="C201" s="280"/>
      <c r="D201" s="381"/>
      <c r="E201" s="381"/>
      <c r="F201" s="281"/>
      <c r="G201" s="280"/>
      <c r="H201" s="280"/>
      <c r="I201" s="280"/>
      <c r="J201" s="281"/>
      <c r="K201" s="251"/>
      <c r="L201" s="242"/>
      <c r="N201" s="219"/>
      <c r="P201" s="342"/>
      <c r="Q201" s="343"/>
      <c r="R201" s="244"/>
      <c r="S201" s="244"/>
      <c r="T201" s="244"/>
      <c r="U201" s="244"/>
      <c r="V201" s="244"/>
      <c r="W201" s="244"/>
      <c r="X201" s="244"/>
      <c r="Y201" s="244"/>
      <c r="Z201" s="244"/>
    </row>
    <row r="202" spans="1:26" s="252" customFormat="1">
      <c r="A202" s="205"/>
      <c r="B202" s="205"/>
      <c r="C202" s="280"/>
      <c r="D202" s="381"/>
      <c r="E202" s="381"/>
      <c r="F202" s="281"/>
      <c r="G202" s="280"/>
      <c r="H202" s="280"/>
      <c r="I202" s="280"/>
      <c r="J202" s="281"/>
      <c r="K202" s="251"/>
      <c r="L202" s="205"/>
      <c r="N202" s="219"/>
      <c r="P202" s="342"/>
      <c r="Q202" s="343"/>
      <c r="R202" s="244"/>
      <c r="S202" s="244"/>
      <c r="T202" s="244"/>
      <c r="U202" s="244"/>
      <c r="V202" s="244"/>
      <c r="W202" s="244"/>
      <c r="X202" s="244"/>
      <c r="Y202" s="244"/>
      <c r="Z202" s="244"/>
    </row>
    <row r="203" spans="1:26" s="252" customFormat="1">
      <c r="A203" s="205"/>
      <c r="B203" s="205"/>
      <c r="C203" s="280"/>
      <c r="D203" s="381"/>
      <c r="E203" s="381"/>
      <c r="F203" s="281"/>
      <c r="G203" s="280"/>
      <c r="H203" s="280"/>
      <c r="I203" s="280"/>
      <c r="J203" s="281"/>
      <c r="K203" s="251"/>
      <c r="L203" s="205"/>
      <c r="N203" s="219"/>
      <c r="P203" s="342"/>
      <c r="Q203" s="343"/>
      <c r="R203" s="244"/>
      <c r="S203" s="244"/>
      <c r="T203" s="244"/>
      <c r="U203" s="244"/>
      <c r="V203" s="244"/>
      <c r="W203" s="244"/>
      <c r="X203" s="244"/>
      <c r="Y203" s="244"/>
      <c r="Z203" s="244"/>
    </row>
    <row r="204" spans="1:26" s="252" customFormat="1">
      <c r="A204" s="205"/>
      <c r="B204" s="205"/>
      <c r="C204" s="280"/>
      <c r="D204" s="381"/>
      <c r="E204" s="381"/>
      <c r="F204" s="281"/>
      <c r="G204" s="280"/>
      <c r="H204" s="280"/>
      <c r="I204" s="280"/>
      <c r="J204" s="281"/>
      <c r="K204" s="251"/>
      <c r="L204" s="205"/>
      <c r="N204" s="219"/>
      <c r="P204" s="342"/>
      <c r="Q204" s="343"/>
      <c r="R204" s="244"/>
      <c r="S204" s="244"/>
      <c r="T204" s="244"/>
      <c r="U204" s="244"/>
      <c r="V204" s="244"/>
      <c r="W204" s="244"/>
      <c r="X204" s="244"/>
      <c r="Y204" s="244"/>
      <c r="Z204" s="244"/>
    </row>
    <row r="205" spans="1:26" s="252" customFormat="1">
      <c r="A205" s="205"/>
      <c r="B205" s="205"/>
      <c r="C205" s="280"/>
      <c r="D205" s="381"/>
      <c r="E205" s="381"/>
      <c r="F205" s="281"/>
      <c r="G205" s="280"/>
      <c r="H205" s="280"/>
      <c r="I205" s="280"/>
      <c r="J205" s="281"/>
      <c r="K205" s="251"/>
      <c r="L205" s="205"/>
      <c r="N205" s="219"/>
      <c r="P205" s="342"/>
      <c r="Q205" s="343"/>
      <c r="R205" s="244"/>
      <c r="S205" s="244"/>
      <c r="T205" s="244"/>
      <c r="U205" s="244"/>
      <c r="V205" s="244"/>
      <c r="W205" s="244"/>
      <c r="X205" s="244"/>
      <c r="Y205" s="244"/>
      <c r="Z205" s="244"/>
    </row>
    <row r="206" spans="1:26" s="252" customFormat="1">
      <c r="A206" s="205"/>
      <c r="B206" s="205"/>
      <c r="C206" s="280"/>
      <c r="D206" s="381"/>
      <c r="E206" s="381"/>
      <c r="F206" s="281"/>
      <c r="G206" s="280"/>
      <c r="H206" s="280"/>
      <c r="I206" s="280"/>
      <c r="J206" s="281"/>
      <c r="K206" s="251"/>
      <c r="L206" s="205"/>
      <c r="N206" s="219"/>
      <c r="P206" s="342"/>
      <c r="Q206" s="343"/>
      <c r="R206" s="244"/>
      <c r="S206" s="244"/>
      <c r="T206" s="244"/>
      <c r="U206" s="244"/>
      <c r="V206" s="244"/>
      <c r="W206" s="244"/>
      <c r="X206" s="244"/>
      <c r="Y206" s="244"/>
      <c r="Z206" s="244"/>
    </row>
    <row r="207" spans="1:26" s="252" customFormat="1">
      <c r="A207" s="205"/>
      <c r="B207" s="205"/>
      <c r="C207" s="280"/>
      <c r="D207" s="381"/>
      <c r="E207" s="280"/>
      <c r="F207" s="281"/>
      <c r="G207" s="280"/>
      <c r="H207" s="280"/>
      <c r="I207" s="280"/>
      <c r="J207" s="281"/>
      <c r="K207" s="251"/>
      <c r="L207" s="205"/>
      <c r="N207" s="219"/>
      <c r="P207" s="342"/>
      <c r="Q207" s="343"/>
      <c r="R207" s="244"/>
      <c r="S207" s="244"/>
      <c r="T207" s="244"/>
      <c r="U207" s="244"/>
      <c r="V207" s="244"/>
      <c r="W207" s="244"/>
      <c r="X207" s="244"/>
      <c r="Y207" s="244"/>
      <c r="Z207" s="244"/>
    </row>
    <row r="208" spans="1:26" s="252" customFormat="1">
      <c r="A208" s="205"/>
      <c r="B208" s="205"/>
      <c r="C208" s="280"/>
      <c r="D208" s="381"/>
      <c r="E208" s="280"/>
      <c r="F208" s="281"/>
      <c r="G208" s="280"/>
      <c r="H208" s="280"/>
      <c r="I208" s="280"/>
      <c r="J208" s="281"/>
      <c r="K208" s="251"/>
      <c r="L208" s="205"/>
      <c r="N208" s="219"/>
      <c r="P208" s="342"/>
      <c r="Q208" s="343"/>
      <c r="R208" s="244"/>
      <c r="S208" s="244"/>
      <c r="T208" s="244"/>
      <c r="U208" s="244"/>
      <c r="V208" s="244"/>
      <c r="W208" s="244"/>
      <c r="X208" s="244"/>
      <c r="Y208" s="244"/>
      <c r="Z208" s="244"/>
    </row>
  </sheetData>
  <sheetProtection formatCells="0" formatColumns="0" formatRows="0" insertColumns="0" insertRows="0" insertHyperlinks="0" deleteColumns="0" deleteRows="0" sort="0" autoFilter="0" pivotTables="0"/>
  <mergeCells count="90">
    <mergeCell ref="A1:L1"/>
    <mergeCell ref="A2:L2"/>
    <mergeCell ref="A4:A5"/>
    <mergeCell ref="B4:B5"/>
    <mergeCell ref="C4:F4"/>
    <mergeCell ref="G4:J4"/>
    <mergeCell ref="K4:K5"/>
    <mergeCell ref="L4:L5"/>
    <mergeCell ref="N7:N16"/>
    <mergeCell ref="O7:O8"/>
    <mergeCell ref="P7:P10"/>
    <mergeCell ref="P12:P14"/>
    <mergeCell ref="N19:N48"/>
    <mergeCell ref="O22:O23"/>
    <mergeCell ref="P22:P23"/>
    <mergeCell ref="P32:P34"/>
    <mergeCell ref="N58:N64"/>
    <mergeCell ref="P58:P64"/>
    <mergeCell ref="A68:A69"/>
    <mergeCell ref="B68:B69"/>
    <mergeCell ref="C68:C69"/>
    <mergeCell ref="D68:D69"/>
    <mergeCell ref="E68:E69"/>
    <mergeCell ref="F68:F69"/>
    <mergeCell ref="P68:P69"/>
    <mergeCell ref="Q68:Q69"/>
    <mergeCell ref="N71:N78"/>
    <mergeCell ref="M72:M73"/>
    <mergeCell ref="O72:O73"/>
    <mergeCell ref="L74:L75"/>
    <mergeCell ref="M74:M75"/>
    <mergeCell ref="O74:O76"/>
    <mergeCell ref="Q102:Q103"/>
    <mergeCell ref="N82:N94"/>
    <mergeCell ref="O83:O84"/>
    <mergeCell ref="P83:P86"/>
    <mergeCell ref="M90:M91"/>
    <mergeCell ref="P90:P91"/>
    <mergeCell ref="O91:O93"/>
    <mergeCell ref="N97:N101"/>
    <mergeCell ref="M98:M100"/>
    <mergeCell ref="P98:P100"/>
    <mergeCell ref="N102:N103"/>
    <mergeCell ref="P102:P103"/>
    <mergeCell ref="B117:B119"/>
    <mergeCell ref="C117:C119"/>
    <mergeCell ref="D117:D119"/>
    <mergeCell ref="E117:E119"/>
    <mergeCell ref="F117:F119"/>
    <mergeCell ref="N104:N105"/>
    <mergeCell ref="P104:P105"/>
    <mergeCell ref="Q104:Q105"/>
    <mergeCell ref="N106:N119"/>
    <mergeCell ref="P115:P118"/>
    <mergeCell ref="G117:G119"/>
    <mergeCell ref="H117:H119"/>
    <mergeCell ref="I117:I119"/>
    <mergeCell ref="J117:J119"/>
    <mergeCell ref="K117:K119"/>
    <mergeCell ref="P170:P171"/>
    <mergeCell ref="Q170:Q171"/>
    <mergeCell ref="N148:N160"/>
    <mergeCell ref="P148:P154"/>
    <mergeCell ref="P121:P122"/>
    <mergeCell ref="Q121:Q122"/>
    <mergeCell ref="N123:N125"/>
    <mergeCell ref="P123:P125"/>
    <mergeCell ref="Q123:Q125"/>
    <mergeCell ref="P126:P130"/>
    <mergeCell ref="Q126:Q130"/>
    <mergeCell ref="N121:N122"/>
    <mergeCell ref="N131:N136"/>
    <mergeCell ref="P131:P136"/>
    <mergeCell ref="Q131:Q136"/>
    <mergeCell ref="P173:P176"/>
    <mergeCell ref="A181:B181"/>
    <mergeCell ref="R131:R136"/>
    <mergeCell ref="P143:P145"/>
    <mergeCell ref="A197:B197"/>
    <mergeCell ref="N161:N164"/>
    <mergeCell ref="P161:P168"/>
    <mergeCell ref="O164:O166"/>
    <mergeCell ref="A170:A171"/>
    <mergeCell ref="B170:B171"/>
    <mergeCell ref="G170:G171"/>
    <mergeCell ref="H170:H171"/>
    <mergeCell ref="I170:I171"/>
    <mergeCell ref="J170:J171"/>
    <mergeCell ref="K170:K171"/>
    <mergeCell ref="N170:N171"/>
  </mergeCells>
  <pageMargins left="0.39370078740157483" right="0.18" top="0.78740157480314965" bottom="0.39370078740157483" header="0" footer="0"/>
  <pageSetup paperSize="9" scale="38" fitToHeight="0" orientation="landscape" r:id="rId1"/>
  <rowBreaks count="15" manualBreakCount="15">
    <brk id="16" max="11" man="1"/>
    <brk id="31" max="11" man="1"/>
    <brk id="46" max="11" man="1"/>
    <brk id="58" max="11" man="1"/>
    <brk id="70" max="11" man="1"/>
    <brk id="74" max="11" man="1"/>
    <brk id="87" max="11" man="1"/>
    <brk id="94" max="11" man="1"/>
    <brk id="102" max="11" man="1"/>
    <brk id="112" max="11" man="1"/>
    <brk id="119" max="11" man="1"/>
    <brk id="132" max="11" man="1"/>
    <brk id="146" max="11" man="1"/>
    <brk id="160" max="11" man="1"/>
    <brk id="17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Z137"/>
  <sheetViews>
    <sheetView tabSelected="1" view="pageBreakPreview" zoomScale="60" zoomScaleNormal="60" workbookViewId="0">
      <pane ySplit="5" topLeftCell="A54" activePane="bottomLeft" state="frozen"/>
      <selection pane="bottomLeft" activeCell="E62" sqref="E62"/>
    </sheetView>
  </sheetViews>
  <sheetFormatPr defaultColWidth="9.140625" defaultRowHeight="19.5"/>
  <cols>
    <col min="1" max="1" width="7.5703125" style="392" customWidth="1"/>
    <col min="2" max="2" width="36.7109375" style="392" customWidth="1"/>
    <col min="3" max="3" width="17.5703125" style="395" customWidth="1"/>
    <col min="4" max="4" width="17" style="395" customWidth="1"/>
    <col min="5" max="5" width="16.7109375" style="395" customWidth="1"/>
    <col min="6" max="6" width="19.28515625" style="396" customWidth="1"/>
    <col min="7" max="7" width="16.85546875" style="395" customWidth="1"/>
    <col min="8" max="8" width="18.140625" style="395" customWidth="1"/>
    <col min="9" max="9" width="18.85546875" style="395" customWidth="1"/>
    <col min="10" max="10" width="17.5703125" style="396" customWidth="1"/>
    <col min="11" max="11" width="20.85546875" style="506" customWidth="1"/>
    <col min="12" max="12" width="142.7109375" style="392" customWidth="1"/>
    <col min="13" max="13" width="17.140625" style="389" hidden="1" customWidth="1"/>
    <col min="14" max="14" width="18.7109375" style="390" hidden="1" customWidth="1"/>
    <col min="15" max="15" width="27.28515625" style="389" customWidth="1"/>
    <col min="16" max="16" width="29.7109375" style="555" customWidth="1"/>
    <col min="17" max="17" width="30.28515625" style="556" customWidth="1"/>
    <col min="18" max="18" width="29.5703125" style="391" customWidth="1"/>
    <col min="19" max="19" width="35.85546875" style="391" customWidth="1"/>
    <col min="20" max="20" width="14" style="391" customWidth="1"/>
    <col min="21" max="21" width="13.140625" style="391" customWidth="1"/>
    <col min="22" max="22" width="14.85546875" style="391" customWidth="1"/>
    <col min="23" max="23" width="21.85546875" style="391" customWidth="1"/>
    <col min="24" max="24" width="9.140625" style="391"/>
    <col min="25" max="25" width="11" style="391" customWidth="1"/>
    <col min="26" max="26" width="10.7109375" style="391" customWidth="1"/>
    <col min="27" max="29" width="9.140625" style="392"/>
    <col min="30" max="30" width="10.7109375" style="392" customWidth="1"/>
    <col min="31" max="34" width="9.140625" style="392"/>
    <col min="35" max="35" width="10.85546875" style="392" customWidth="1"/>
    <col min="36" max="36" width="13.85546875" style="392" customWidth="1"/>
    <col min="37" max="37" width="11.42578125" style="392" customWidth="1"/>
    <col min="38" max="39" width="9.140625" style="392"/>
    <col min="40" max="40" width="12.42578125" style="392" customWidth="1"/>
    <col min="41" max="69" width="9.140625" style="392"/>
    <col min="70" max="70" width="21.85546875" style="392" customWidth="1"/>
    <col min="71" max="16384" width="9.140625" style="392"/>
  </cols>
  <sheetData>
    <row r="1" spans="1:26" ht="33.75" customHeight="1">
      <c r="A1" s="684" t="s">
        <v>92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</row>
    <row r="2" spans="1:26" ht="34.5" customHeight="1">
      <c r="A2" s="684" t="s">
        <v>361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  <c r="R2" s="393"/>
    </row>
    <row r="3" spans="1:26" ht="20.25" customHeight="1">
      <c r="A3" s="394"/>
      <c r="B3" s="394"/>
      <c r="K3" s="397"/>
      <c r="L3" s="398" t="s">
        <v>16</v>
      </c>
      <c r="R3" s="393"/>
      <c r="S3" s="393"/>
      <c r="T3" s="393"/>
    </row>
    <row r="4" spans="1:26" s="405" customFormat="1" ht="30" customHeight="1">
      <c r="A4" s="692" t="s">
        <v>17</v>
      </c>
      <c r="B4" s="692" t="s">
        <v>18</v>
      </c>
      <c r="C4" s="694" t="s">
        <v>19</v>
      </c>
      <c r="D4" s="695"/>
      <c r="E4" s="695"/>
      <c r="F4" s="696"/>
      <c r="G4" s="694" t="s">
        <v>0</v>
      </c>
      <c r="H4" s="695"/>
      <c r="I4" s="695"/>
      <c r="J4" s="696"/>
      <c r="K4" s="697" t="s">
        <v>355</v>
      </c>
      <c r="L4" s="692" t="s">
        <v>20</v>
      </c>
      <c r="M4" s="399"/>
      <c r="N4" s="400"/>
      <c r="O4" s="399"/>
      <c r="P4" s="401"/>
      <c r="Q4" s="402"/>
      <c r="R4" s="403"/>
      <c r="S4" s="403"/>
      <c r="T4" s="404"/>
      <c r="U4" s="404"/>
      <c r="V4" s="404"/>
      <c r="W4" s="404"/>
      <c r="X4" s="404"/>
      <c r="Y4" s="404"/>
      <c r="Z4" s="404"/>
    </row>
    <row r="5" spans="1:26" s="405" customFormat="1" ht="28.5" customHeight="1">
      <c r="A5" s="693"/>
      <c r="B5" s="693"/>
      <c r="C5" s="406" t="s">
        <v>21</v>
      </c>
      <c r="D5" s="406" t="s">
        <v>22</v>
      </c>
      <c r="E5" s="406" t="s">
        <v>23</v>
      </c>
      <c r="F5" s="406" t="s">
        <v>24</v>
      </c>
      <c r="G5" s="406" t="s">
        <v>21</v>
      </c>
      <c r="H5" s="406" t="s">
        <v>22</v>
      </c>
      <c r="I5" s="406" t="s">
        <v>23</v>
      </c>
      <c r="J5" s="406" t="s">
        <v>24</v>
      </c>
      <c r="K5" s="698"/>
      <c r="L5" s="693"/>
      <c r="M5" s="399"/>
      <c r="N5" s="400"/>
      <c r="O5" s="399"/>
      <c r="P5" s="401"/>
      <c r="Q5" s="402"/>
      <c r="R5" s="404"/>
      <c r="S5" s="403"/>
      <c r="T5" s="404"/>
      <c r="U5" s="404"/>
      <c r="V5" s="404"/>
      <c r="W5" s="404"/>
      <c r="X5" s="404"/>
      <c r="Y5" s="404"/>
      <c r="Z5" s="404"/>
    </row>
    <row r="6" spans="1:26" s="414" customFormat="1" ht="18.75" customHeight="1">
      <c r="A6" s="407">
        <v>1</v>
      </c>
      <c r="B6" s="408">
        <v>2</v>
      </c>
      <c r="C6" s="409">
        <v>3</v>
      </c>
      <c r="D6" s="409">
        <v>4</v>
      </c>
      <c r="E6" s="409">
        <v>5</v>
      </c>
      <c r="F6" s="409">
        <v>6</v>
      </c>
      <c r="G6" s="409">
        <v>7</v>
      </c>
      <c r="H6" s="409">
        <v>8</v>
      </c>
      <c r="I6" s="409">
        <v>9</v>
      </c>
      <c r="J6" s="409">
        <v>10</v>
      </c>
      <c r="K6" s="410">
        <v>11</v>
      </c>
      <c r="L6" s="408">
        <v>12</v>
      </c>
      <c r="M6" s="411"/>
      <c r="N6" s="412"/>
      <c r="O6" s="411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</row>
    <row r="7" spans="1:26" ht="117" customHeight="1">
      <c r="A7" s="521" t="s">
        <v>25</v>
      </c>
      <c r="B7" s="519" t="s">
        <v>90</v>
      </c>
      <c r="C7" s="567">
        <v>38124.5</v>
      </c>
      <c r="D7" s="514">
        <v>7370</v>
      </c>
      <c r="E7" s="514">
        <v>4141.8</v>
      </c>
      <c r="F7" s="514">
        <f>E7+D7+C7</f>
        <v>49636.3</v>
      </c>
      <c r="G7" s="514">
        <v>16481.900000000001</v>
      </c>
      <c r="H7" s="514">
        <v>4137.2</v>
      </c>
      <c r="I7" s="514">
        <v>206.2</v>
      </c>
      <c r="J7" s="514">
        <f>G7+H7+I7</f>
        <v>20825.300000000003</v>
      </c>
      <c r="K7" s="536">
        <f>J7/F7*100</f>
        <v>41.955786390202334</v>
      </c>
      <c r="L7" s="388" t="s">
        <v>383</v>
      </c>
      <c r="M7" s="520">
        <f>124+19.3+165.3+19.3+120.9+200+182.6+220+220+183.4+183.4+120.9+111.8+2.3</f>
        <v>1873.2000000000003</v>
      </c>
      <c r="N7" s="699" t="e">
        <f>M7+#REF!+M8+M9+M10+M11+M12+M13</f>
        <v>#REF!</v>
      </c>
      <c r="O7" s="520">
        <v>0.7</v>
      </c>
      <c r="P7" s="702">
        <f>O7+O8+O10+O11+O12+O13+O9</f>
        <v>20825.3</v>
      </c>
      <c r="Q7" s="512">
        <f>313.6+0.9+89.5</f>
        <v>404</v>
      </c>
      <c r="R7" s="415">
        <f>J7-Q7</f>
        <v>20421.300000000003</v>
      </c>
    </row>
    <row r="8" spans="1:26" ht="111" customHeight="1">
      <c r="A8" s="416"/>
      <c r="B8" s="417"/>
      <c r="C8" s="418"/>
      <c r="D8" s="419"/>
      <c r="E8" s="419"/>
      <c r="F8" s="419"/>
      <c r="G8" s="419"/>
      <c r="H8" s="419"/>
      <c r="I8" s="419"/>
      <c r="J8" s="419"/>
      <c r="K8" s="518"/>
      <c r="L8" s="568" t="s">
        <v>382</v>
      </c>
      <c r="M8" s="534">
        <f>486.3+2.1+203.8</f>
        <v>692.2</v>
      </c>
      <c r="N8" s="700"/>
      <c r="O8" s="534">
        <f>721+2.2+206.2</f>
        <v>929.40000000000009</v>
      </c>
      <c r="P8" s="703"/>
    </row>
    <row r="9" spans="1:26" ht="168.75" customHeight="1">
      <c r="A9" s="416"/>
      <c r="B9" s="417"/>
      <c r="C9" s="418"/>
      <c r="D9" s="419"/>
      <c r="E9" s="419"/>
      <c r="F9" s="419"/>
      <c r="G9" s="419"/>
      <c r="H9" s="419"/>
      <c r="I9" s="419"/>
      <c r="J9" s="419"/>
      <c r="K9" s="518"/>
      <c r="L9" s="426" t="s">
        <v>386</v>
      </c>
      <c r="M9" s="534">
        <v>30</v>
      </c>
      <c r="N9" s="700"/>
      <c r="O9" s="534">
        <f>630+1775</f>
        <v>2405</v>
      </c>
      <c r="P9" s="550"/>
    </row>
    <row r="10" spans="1:26" ht="249" customHeight="1">
      <c r="A10" s="422"/>
      <c r="B10" s="423"/>
      <c r="C10" s="424"/>
      <c r="D10" s="425"/>
      <c r="E10" s="425"/>
      <c r="F10" s="419"/>
      <c r="G10" s="425"/>
      <c r="H10" s="425"/>
      <c r="I10" s="425"/>
      <c r="J10" s="419"/>
      <c r="K10" s="518"/>
      <c r="L10" s="426" t="s">
        <v>385</v>
      </c>
      <c r="M10" s="534">
        <f>4942.6+106+128.5+1407.2+951.4+64.6+90.4+3.2+4.5+156.4+146.1+10.2+3.3</f>
        <v>8014.4</v>
      </c>
      <c r="N10" s="700"/>
      <c r="O10" s="534">
        <f>3503.8+20.1+820.7+59.3+24.6+3+215.7+697.3+2.7</f>
        <v>5347.2000000000007</v>
      </c>
      <c r="P10" s="703">
        <f>O10+O11+O12</f>
        <v>9580.4</v>
      </c>
      <c r="R10" s="404"/>
    </row>
    <row r="11" spans="1:26" ht="45.75" customHeight="1">
      <c r="A11" s="422"/>
      <c r="B11" s="423"/>
      <c r="C11" s="424"/>
      <c r="D11" s="425"/>
      <c r="E11" s="425"/>
      <c r="F11" s="419"/>
      <c r="G11" s="425"/>
      <c r="H11" s="425"/>
      <c r="I11" s="425"/>
      <c r="J11" s="419"/>
      <c r="K11" s="518"/>
      <c r="L11" s="426" t="s">
        <v>380</v>
      </c>
      <c r="M11" s="534">
        <v>146.30000000000001</v>
      </c>
      <c r="N11" s="700"/>
      <c r="O11" s="534">
        <v>98.2</v>
      </c>
      <c r="P11" s="703"/>
    </row>
    <row r="12" spans="1:26" ht="92.25" customHeight="1">
      <c r="A12" s="422"/>
      <c r="B12" s="423"/>
      <c r="C12" s="424"/>
      <c r="D12" s="425"/>
      <c r="E12" s="425"/>
      <c r="F12" s="419"/>
      <c r="G12" s="425"/>
      <c r="H12" s="425"/>
      <c r="I12" s="425"/>
      <c r="J12" s="419"/>
      <c r="K12" s="518"/>
      <c r="L12" s="426" t="s">
        <v>384</v>
      </c>
      <c r="M12" s="534">
        <f>562.7+169.9+1453.2+23.2+3+102.8+28+5.5+0.2</f>
        <v>2348.5</v>
      </c>
      <c r="N12" s="700"/>
      <c r="O12" s="534">
        <f>243.5+2.4+73.5+3810.7+1.2+1.5+2.2</f>
        <v>4134.9999999999991</v>
      </c>
      <c r="P12" s="703"/>
      <c r="R12" s="404"/>
    </row>
    <row r="13" spans="1:26" ht="51" customHeight="1">
      <c r="A13" s="564"/>
      <c r="B13" s="423"/>
      <c r="C13" s="424"/>
      <c r="D13" s="517"/>
      <c r="E13" s="517"/>
      <c r="F13" s="515"/>
      <c r="G13" s="517"/>
      <c r="H13" s="517"/>
      <c r="I13" s="517"/>
      <c r="J13" s="515"/>
      <c r="K13" s="537"/>
      <c r="L13" s="569" t="s">
        <v>381</v>
      </c>
      <c r="M13" s="421">
        <v>7259</v>
      </c>
      <c r="N13" s="701"/>
      <c r="O13" s="421">
        <v>7909.8</v>
      </c>
      <c r="P13" s="553"/>
    </row>
    <row r="14" spans="1:26" ht="162" customHeight="1">
      <c r="A14" s="427" t="s">
        <v>26</v>
      </c>
      <c r="B14" s="428" t="s">
        <v>85</v>
      </c>
      <c r="C14" s="429">
        <v>2143</v>
      </c>
      <c r="D14" s="429">
        <v>1500</v>
      </c>
      <c r="E14" s="429"/>
      <c r="F14" s="429">
        <f>E14+D14+C14</f>
        <v>3643</v>
      </c>
      <c r="G14" s="429">
        <v>112</v>
      </c>
      <c r="H14" s="429">
        <v>0</v>
      </c>
      <c r="I14" s="429">
        <v>0</v>
      </c>
      <c r="J14" s="429">
        <f>SUM(G14:I14)</f>
        <v>112</v>
      </c>
      <c r="K14" s="430">
        <f>J14/F14*100</f>
        <v>3.0743892396376613</v>
      </c>
      <c r="L14" s="570" t="s">
        <v>368</v>
      </c>
      <c r="O14" s="389">
        <v>112</v>
      </c>
      <c r="P14" s="555">
        <f>J14-O14</f>
        <v>0</v>
      </c>
    </row>
    <row r="15" spans="1:26" ht="95.25" customHeight="1">
      <c r="A15" s="427" t="s">
        <v>27</v>
      </c>
      <c r="B15" s="432" t="s">
        <v>84</v>
      </c>
      <c r="C15" s="429">
        <f t="shared" ref="C15:J15" si="0">C16+C35+C40</f>
        <v>410969.9</v>
      </c>
      <c r="D15" s="429">
        <f t="shared" si="0"/>
        <v>821752.7</v>
      </c>
      <c r="E15" s="429">
        <f t="shared" si="0"/>
        <v>128679.4</v>
      </c>
      <c r="F15" s="429">
        <f t="shared" si="0"/>
        <v>1361402</v>
      </c>
      <c r="G15" s="429">
        <f t="shared" si="0"/>
        <v>176342.8</v>
      </c>
      <c r="H15" s="429">
        <f t="shared" si="0"/>
        <v>366976.4</v>
      </c>
      <c r="I15" s="429">
        <f t="shared" si="0"/>
        <v>61525.7</v>
      </c>
      <c r="J15" s="429">
        <f t="shared" si="0"/>
        <v>604844.89999999991</v>
      </c>
      <c r="K15" s="430">
        <f>J15*100/F15</f>
        <v>44.428089572367305</v>
      </c>
      <c r="L15" s="433"/>
      <c r="O15" s="434"/>
      <c r="Q15" s="531"/>
      <c r="R15" s="532"/>
      <c r="S15" s="531"/>
    </row>
    <row r="16" spans="1:26" ht="156" customHeight="1">
      <c r="A16" s="563" t="s">
        <v>58</v>
      </c>
      <c r="B16" s="388" t="s">
        <v>33</v>
      </c>
      <c r="C16" s="571">
        <v>377140.9</v>
      </c>
      <c r="D16" s="571">
        <v>821668.6</v>
      </c>
      <c r="E16" s="571">
        <v>121841.9</v>
      </c>
      <c r="F16" s="572">
        <f>E16+D16+C16</f>
        <v>1320651.3999999999</v>
      </c>
      <c r="G16" s="571">
        <v>161609.9</v>
      </c>
      <c r="H16" s="571">
        <v>366909.2</v>
      </c>
      <c r="I16" s="571">
        <v>54869.5</v>
      </c>
      <c r="J16" s="572">
        <f>G16+H16+I16</f>
        <v>583388.6</v>
      </c>
      <c r="K16" s="536">
        <f>J16*100/F16</f>
        <v>44.174306709552575</v>
      </c>
      <c r="L16" s="573" t="s">
        <v>432</v>
      </c>
      <c r="M16" s="520">
        <f>26980.6+43.6+157.3+9698.1+1438.9+583.6+2486.6+67.4+1200.4</f>
        <v>42656.5</v>
      </c>
      <c r="N16" s="704">
        <f>SUM(M16:M34)</f>
        <v>771598.41999999993</v>
      </c>
      <c r="O16" s="527">
        <f>19708.46+28+135.81+7971.15+976.83+515.17+2450.61+55.55+1081.76</f>
        <v>32923.339999999997</v>
      </c>
      <c r="P16" s="526">
        <f>O16+O17+O18+O19+O20+O21+O22+O23+O24+O25+O27+O28+O29+O30+O31+O32+O34+O33+O26</f>
        <v>583388.60000000009</v>
      </c>
      <c r="Q16" s="530">
        <f>J16-P16</f>
        <v>0</v>
      </c>
      <c r="R16" s="531"/>
      <c r="S16" s="531"/>
    </row>
    <row r="17" spans="1:20" s="391" customFormat="1" ht="83.25" customHeight="1">
      <c r="A17" s="422"/>
      <c r="B17" s="420"/>
      <c r="C17" s="435"/>
      <c r="D17" s="435"/>
      <c r="E17" s="435"/>
      <c r="F17" s="436"/>
      <c r="G17" s="435"/>
      <c r="H17" s="435"/>
      <c r="I17" s="435"/>
      <c r="J17" s="436"/>
      <c r="K17" s="518"/>
      <c r="L17" s="420" t="s">
        <v>447</v>
      </c>
      <c r="M17" s="534">
        <v>72.75</v>
      </c>
      <c r="N17" s="705"/>
      <c r="O17" s="528">
        <v>7.0000000000000001E-3</v>
      </c>
      <c r="P17" s="550"/>
      <c r="Q17" s="556"/>
    </row>
    <row r="18" spans="1:20" s="391" customFormat="1" ht="96" customHeight="1">
      <c r="A18" s="422"/>
      <c r="B18" s="420"/>
      <c r="C18" s="435"/>
      <c r="D18" s="435"/>
      <c r="E18" s="435"/>
      <c r="F18" s="436"/>
      <c r="G18" s="435"/>
      <c r="H18" s="435"/>
      <c r="I18" s="435"/>
      <c r="J18" s="436"/>
      <c r="K18" s="518"/>
      <c r="L18" s="568" t="s">
        <v>433</v>
      </c>
      <c r="M18" s="534"/>
      <c r="N18" s="705"/>
      <c r="O18" s="528">
        <f>180+10</f>
        <v>190</v>
      </c>
      <c r="P18" s="550"/>
      <c r="Q18" s="556"/>
    </row>
    <row r="19" spans="1:20" s="391" customFormat="1" ht="259.5" customHeight="1">
      <c r="A19" s="437"/>
      <c r="B19" s="420"/>
      <c r="C19" s="435"/>
      <c r="D19" s="435"/>
      <c r="E19" s="435"/>
      <c r="F19" s="436"/>
      <c r="G19" s="435"/>
      <c r="H19" s="435"/>
      <c r="I19" s="435"/>
      <c r="J19" s="436"/>
      <c r="K19" s="518"/>
      <c r="L19" s="420" t="s">
        <v>434</v>
      </c>
      <c r="M19" s="534">
        <f>106+199.1+122.1+138.3+23.4+8.4+161.6+130+55+37.9+4+9.5+3.8+122.4+40+2510.2+86.5+68.7+35+154.2+13.6+597.8+1133.3+1410.6+5+5</f>
        <v>7181.4</v>
      </c>
      <c r="N19" s="705"/>
      <c r="O19" s="529">
        <f>110.41+235.51+174.94+72.3+8.8+13.6+10.7+281.49+30+80+150+525.42+2.7+0.9+44</f>
        <v>1740.7700000000002</v>
      </c>
      <c r="P19" s="550"/>
      <c r="Q19" s="556"/>
    </row>
    <row r="20" spans="1:20" s="391" customFormat="1" ht="118.5" customHeight="1">
      <c r="A20" s="437"/>
      <c r="B20" s="420"/>
      <c r="C20" s="435"/>
      <c r="D20" s="435"/>
      <c r="E20" s="435"/>
      <c r="F20" s="436"/>
      <c r="G20" s="435"/>
      <c r="H20" s="435"/>
      <c r="I20" s="435"/>
      <c r="J20" s="436"/>
      <c r="K20" s="518"/>
      <c r="L20" s="420" t="s">
        <v>441</v>
      </c>
      <c r="M20" s="534">
        <f>97856.7+35.25+1347.53+947.24+28.09</f>
        <v>100214.81</v>
      </c>
      <c r="N20" s="705"/>
      <c r="O20" s="528">
        <f>61478.6+47.7+948.1+22.4</f>
        <v>62496.799999999996</v>
      </c>
      <c r="P20" s="550"/>
      <c r="Q20" s="556"/>
    </row>
    <row r="21" spans="1:20" s="391" customFormat="1" ht="148.5" customHeight="1">
      <c r="A21" s="437"/>
      <c r="B21" s="420"/>
      <c r="C21" s="435"/>
      <c r="D21" s="435"/>
      <c r="E21" s="435"/>
      <c r="F21" s="436"/>
      <c r="G21" s="435"/>
      <c r="H21" s="435"/>
      <c r="I21" s="435"/>
      <c r="J21" s="436"/>
      <c r="K21" s="518"/>
      <c r="L21" s="420" t="s">
        <v>435</v>
      </c>
      <c r="M21" s="534">
        <f>37256.75+165.4+1576.31+37236.23+36.3+7690.44+4011.3+7496.32+302.86+10829.39</f>
        <v>106601.30000000002</v>
      </c>
      <c r="N21" s="705"/>
      <c r="O21" s="528">
        <f>33850.57+112.4+1617.37+32295.64+84.51+5682.66+3249.67+206.91+7445.97+186.14+10456.01</f>
        <v>95187.85</v>
      </c>
      <c r="P21" s="550"/>
      <c r="Q21" s="556"/>
    </row>
    <row r="22" spans="1:20" s="391" customFormat="1" ht="137.25" customHeight="1">
      <c r="A22" s="437"/>
      <c r="B22" s="420"/>
      <c r="C22" s="435"/>
      <c r="D22" s="435"/>
      <c r="E22" s="435"/>
      <c r="F22" s="436"/>
      <c r="G22" s="435"/>
      <c r="H22" s="435"/>
      <c r="I22" s="435"/>
      <c r="J22" s="436"/>
      <c r="K22" s="518"/>
      <c r="L22" s="420" t="s">
        <v>442</v>
      </c>
      <c r="M22" s="534">
        <f>34.78+10+145.96+116.13</f>
        <v>306.87</v>
      </c>
      <c r="N22" s="705"/>
      <c r="O22" s="528">
        <f>225+295+83.48+191.65+10</f>
        <v>805.13</v>
      </c>
      <c r="P22" s="550"/>
      <c r="Q22" s="556"/>
    </row>
    <row r="23" spans="1:20" s="391" customFormat="1" ht="409.6" customHeight="1">
      <c r="A23" s="437"/>
      <c r="B23" s="420"/>
      <c r="C23" s="435"/>
      <c r="D23" s="435"/>
      <c r="E23" s="435"/>
      <c r="F23" s="436"/>
      <c r="G23" s="435"/>
      <c r="H23" s="435"/>
      <c r="I23" s="435"/>
      <c r="J23" s="436"/>
      <c r="K23" s="438"/>
      <c r="L23" s="439" t="s">
        <v>451</v>
      </c>
      <c r="M23" s="534">
        <f>538.42+136+23.1+70+599.99+58+282.39+4+4+18+13+13+70+140+70+50+70+70+1202.4+70+70+70+199.87+383.88+1+4+8.5+15+24.5+25+38.5+45+55.8+29.7+575.13+585.97+570.62+200+549.28+157.35+19.04+44.12</f>
        <v>7174.56</v>
      </c>
      <c r="N23" s="705"/>
      <c r="O23" s="528">
        <f>58.25+96.21+46.67+140+230+350+5+95.45+124.7+150+150+145+150+52.1+89.3+37.19+49.57+26.2+35.54+29.57+1.26+9.37+11.93+13.5+0.9+235.23+11.12+10.75</f>
        <v>2354.81</v>
      </c>
      <c r="P23" s="525"/>
      <c r="Q23" s="512"/>
      <c r="R23" s="415"/>
      <c r="T23" s="415"/>
    </row>
    <row r="24" spans="1:20" s="391" customFormat="1" ht="273" customHeight="1">
      <c r="A24" s="437"/>
      <c r="B24" s="420"/>
      <c r="C24" s="435"/>
      <c r="D24" s="435"/>
      <c r="E24" s="435"/>
      <c r="F24" s="436"/>
      <c r="G24" s="435"/>
      <c r="H24" s="435"/>
      <c r="I24" s="435"/>
      <c r="J24" s="436"/>
      <c r="K24" s="438"/>
      <c r="L24" s="439" t="s">
        <v>452</v>
      </c>
      <c r="M24" s="534"/>
      <c r="N24" s="705"/>
      <c r="O24" s="528">
        <f>9.04+64.69+109.67+135.53+53.42+81.04+1514.63+48.82+204+50+178+300+125.93+9+15+323.35+410.65</f>
        <v>3632.77</v>
      </c>
      <c r="P24" s="525"/>
      <c r="Q24" s="512"/>
      <c r="R24" s="415"/>
      <c r="T24" s="415"/>
    </row>
    <row r="25" spans="1:20" s="391" customFormat="1" ht="108" customHeight="1">
      <c r="A25" s="437"/>
      <c r="B25" s="420"/>
      <c r="C25" s="435"/>
      <c r="D25" s="435"/>
      <c r="E25" s="435"/>
      <c r="F25" s="436"/>
      <c r="G25" s="435"/>
      <c r="H25" s="435"/>
      <c r="I25" s="435"/>
      <c r="J25" s="436"/>
      <c r="K25" s="438"/>
      <c r="L25" s="439" t="s">
        <v>436</v>
      </c>
      <c r="M25" s="534">
        <v>27288.2</v>
      </c>
      <c r="N25" s="705"/>
      <c r="O25" s="528">
        <v>35074</v>
      </c>
      <c r="P25" s="550"/>
      <c r="Q25" s="556"/>
    </row>
    <row r="26" spans="1:20" s="391" customFormat="1" ht="108.75" customHeight="1">
      <c r="A26" s="437"/>
      <c r="B26" s="420"/>
      <c r="C26" s="435"/>
      <c r="D26" s="435"/>
      <c r="E26" s="435"/>
      <c r="F26" s="436"/>
      <c r="G26" s="435"/>
      <c r="H26" s="435"/>
      <c r="I26" s="435"/>
      <c r="J26" s="436"/>
      <c r="K26" s="438"/>
      <c r="L26" s="439" t="s">
        <v>437</v>
      </c>
      <c r="M26" s="534">
        <f>410725.05+98.83+2757.79+5476.13+2317.14</f>
        <v>421374.94</v>
      </c>
      <c r="N26" s="705"/>
      <c r="O26" s="528">
        <f>294540.02+83.64+1343.31+2550.86+1009.17</f>
        <v>299527</v>
      </c>
      <c r="P26" s="550"/>
      <c r="Q26" s="556"/>
    </row>
    <row r="27" spans="1:20" s="391" customFormat="1" ht="58.5" customHeight="1">
      <c r="A27" s="437"/>
      <c r="B27" s="420"/>
      <c r="C27" s="435"/>
      <c r="D27" s="435"/>
      <c r="E27" s="435"/>
      <c r="F27" s="436"/>
      <c r="G27" s="435"/>
      <c r="H27" s="435"/>
      <c r="I27" s="435"/>
      <c r="J27" s="436"/>
      <c r="K27" s="438"/>
      <c r="L27" s="574" t="s">
        <v>443</v>
      </c>
      <c r="M27" s="534"/>
      <c r="N27" s="705"/>
      <c r="O27" s="528">
        <v>59.6</v>
      </c>
      <c r="P27" s="550"/>
      <c r="Q27" s="556"/>
    </row>
    <row r="28" spans="1:20" s="391" customFormat="1" ht="36" customHeight="1">
      <c r="A28" s="437"/>
      <c r="B28" s="420"/>
      <c r="C28" s="435"/>
      <c r="D28" s="435"/>
      <c r="E28" s="435"/>
      <c r="F28" s="436"/>
      <c r="G28" s="435"/>
      <c r="H28" s="435"/>
      <c r="I28" s="435"/>
      <c r="J28" s="436"/>
      <c r="K28" s="438"/>
      <c r="L28" s="575" t="s">
        <v>440</v>
      </c>
      <c r="M28" s="534">
        <f>1164.9+3143.7</f>
        <v>4308.6000000000004</v>
      </c>
      <c r="N28" s="705"/>
      <c r="O28" s="528">
        <f>1243.98+2815.8</f>
        <v>4059.78</v>
      </c>
      <c r="P28" s="550"/>
      <c r="Q28" s="556"/>
    </row>
    <row r="29" spans="1:20" s="391" customFormat="1" ht="59.25" customHeight="1">
      <c r="A29" s="437"/>
      <c r="B29" s="420"/>
      <c r="C29" s="435"/>
      <c r="D29" s="435"/>
      <c r="E29" s="435"/>
      <c r="F29" s="436"/>
      <c r="G29" s="435"/>
      <c r="H29" s="435"/>
      <c r="I29" s="435"/>
      <c r="J29" s="436"/>
      <c r="K29" s="438"/>
      <c r="L29" s="576" t="s">
        <v>446</v>
      </c>
      <c r="M29" s="534">
        <f>207.75+2056.75+18510.7</f>
        <v>20775.2</v>
      </c>
      <c r="N29" s="705"/>
      <c r="O29" s="528">
        <f>174.947+1732.2+15587.8</f>
        <v>17494.947</v>
      </c>
      <c r="P29" s="550"/>
      <c r="Q29" s="556"/>
    </row>
    <row r="30" spans="1:20" s="391" customFormat="1" ht="66.75" customHeight="1">
      <c r="A30" s="437"/>
      <c r="B30" s="420"/>
      <c r="C30" s="435"/>
      <c r="D30" s="435"/>
      <c r="E30" s="435"/>
      <c r="F30" s="436"/>
      <c r="G30" s="435"/>
      <c r="H30" s="435"/>
      <c r="I30" s="435"/>
      <c r="J30" s="436"/>
      <c r="K30" s="438"/>
      <c r="L30" s="576" t="s">
        <v>445</v>
      </c>
      <c r="M30" s="534"/>
      <c r="N30" s="705"/>
      <c r="O30" s="528">
        <f>32.76+324.4+2919.8</f>
        <v>3276.96</v>
      </c>
      <c r="P30" s="550"/>
      <c r="Q30" s="556"/>
    </row>
    <row r="31" spans="1:20" s="391" customFormat="1" ht="81.75" customHeight="1">
      <c r="A31" s="441"/>
      <c r="B31" s="420"/>
      <c r="C31" s="420"/>
      <c r="D31" s="420"/>
      <c r="E31" s="420"/>
      <c r="F31" s="420"/>
      <c r="G31" s="420"/>
      <c r="H31" s="420"/>
      <c r="I31" s="420"/>
      <c r="J31" s="420"/>
      <c r="K31" s="420"/>
      <c r="L31" s="439" t="s">
        <v>448</v>
      </c>
      <c r="M31" s="442">
        <f>7699.24+41.88+3+324.29+235.47+3.9+105.98+122.09</f>
        <v>8535.8499999999985</v>
      </c>
      <c r="N31" s="705"/>
      <c r="O31" s="528">
        <f>5366.95+4.25+24.16+8.9+209.5+30.9</f>
        <v>5644.6599999999989</v>
      </c>
      <c r="P31" s="550"/>
      <c r="Q31" s="556"/>
    </row>
    <row r="32" spans="1:20" s="391" customFormat="1" ht="97.5" customHeight="1">
      <c r="A32" s="441"/>
      <c r="B32" s="420"/>
      <c r="C32" s="420"/>
      <c r="D32" s="420"/>
      <c r="E32" s="420"/>
      <c r="F32" s="420"/>
      <c r="G32" s="420"/>
      <c r="H32" s="420"/>
      <c r="I32" s="420"/>
      <c r="J32" s="420"/>
      <c r="K32" s="420"/>
      <c r="L32" s="439" t="s">
        <v>444</v>
      </c>
      <c r="M32" s="442">
        <f>20902.69+77.99+6.7+408.7+893.73+1030.36+7.39+187.57+368.06</f>
        <v>23883.190000000002</v>
      </c>
      <c r="N32" s="705"/>
      <c r="O32" s="528">
        <f>14798.996+53.79+390.82+124.13+1150.83+5.99+3.88+379.84</f>
        <v>16908.276000000002</v>
      </c>
      <c r="P32" s="550"/>
      <c r="Q32" s="556"/>
    </row>
    <row r="33" spans="1:18" s="391" customFormat="1" ht="91.5" customHeight="1">
      <c r="A33" s="441"/>
      <c r="B33" s="420"/>
      <c r="C33" s="435"/>
      <c r="D33" s="435"/>
      <c r="E33" s="435"/>
      <c r="F33" s="436"/>
      <c r="G33" s="435"/>
      <c r="H33" s="435"/>
      <c r="I33" s="435"/>
      <c r="J33" s="436"/>
      <c r="K33" s="438"/>
      <c r="L33" s="439" t="s">
        <v>438</v>
      </c>
      <c r="M33" s="534">
        <f>29.75+247.5</f>
        <v>277.25</v>
      </c>
      <c r="N33" s="705"/>
      <c r="O33" s="528">
        <f>649.4+2+4.65+30.71+18.4+5.84</f>
        <v>711</v>
      </c>
      <c r="P33" s="550"/>
      <c r="Q33" s="556"/>
    </row>
    <row r="34" spans="1:18" s="391" customFormat="1" ht="90.75" customHeight="1">
      <c r="A34" s="441"/>
      <c r="B34" s="420"/>
      <c r="C34" s="435"/>
      <c r="D34" s="435"/>
      <c r="E34" s="435"/>
      <c r="F34" s="436"/>
      <c r="G34" s="435"/>
      <c r="H34" s="435"/>
      <c r="I34" s="435"/>
      <c r="J34" s="436"/>
      <c r="K34" s="445"/>
      <c r="L34" s="443" t="s">
        <v>439</v>
      </c>
      <c r="M34" s="446">
        <f>94.7+94.7+94.7+284.1+94.7+94.7+94.7+94.7</f>
        <v>947.00000000000023</v>
      </c>
      <c r="N34" s="447"/>
      <c r="O34" s="528">
        <f>13+1287.9</f>
        <v>1300.9000000000001</v>
      </c>
      <c r="P34" s="550"/>
      <c r="Q34" s="556"/>
    </row>
    <row r="35" spans="1:18" s="391" customFormat="1" ht="125.25" customHeight="1">
      <c r="A35" s="563" t="s">
        <v>59</v>
      </c>
      <c r="B35" s="388" t="s">
        <v>1</v>
      </c>
      <c r="C35" s="516">
        <v>32513.9</v>
      </c>
      <c r="D35" s="516">
        <v>84.1</v>
      </c>
      <c r="E35" s="516">
        <v>6837.5</v>
      </c>
      <c r="F35" s="514">
        <f>E35+D35+C35</f>
        <v>39435.5</v>
      </c>
      <c r="G35" s="516">
        <v>14054.3</v>
      </c>
      <c r="H35" s="516">
        <v>67.2</v>
      </c>
      <c r="I35" s="516">
        <v>6656.2</v>
      </c>
      <c r="J35" s="567">
        <f>I35+H35+G35</f>
        <v>20777.699999999997</v>
      </c>
      <c r="K35" s="536">
        <f>J35*100/F35</f>
        <v>52.687806671653711</v>
      </c>
      <c r="L35" s="577" t="s">
        <v>427</v>
      </c>
      <c r="M35" s="520">
        <f>10247+34.2+199.5+108+68.6+7.2+69.2</f>
        <v>10733.700000000003</v>
      </c>
      <c r="N35" s="699" t="e">
        <f>M35+#REF!+#REF!+M37+M38+#REF!</f>
        <v>#REF!</v>
      </c>
      <c r="O35" s="449">
        <f>9387.74+25.32+164.52+31.29+21.91+1.39+30.78</f>
        <v>9662.9500000000007</v>
      </c>
      <c r="P35" s="706">
        <f>O35+O36+O37+O38+O39</f>
        <v>20777.7</v>
      </c>
      <c r="Q35" s="450"/>
      <c r="R35" s="440"/>
    </row>
    <row r="36" spans="1:18" s="391" customFormat="1" ht="66.75" customHeight="1">
      <c r="A36" s="422"/>
      <c r="B36" s="420"/>
      <c r="C36" s="425"/>
      <c r="D36" s="425"/>
      <c r="E36" s="425"/>
      <c r="F36" s="419"/>
      <c r="G36" s="425"/>
      <c r="H36" s="425"/>
      <c r="I36" s="425"/>
      <c r="J36" s="418"/>
      <c r="K36" s="518"/>
      <c r="L36" s="578" t="s">
        <v>426</v>
      </c>
      <c r="M36" s="534"/>
      <c r="N36" s="700"/>
      <c r="O36" s="442">
        <v>185.02</v>
      </c>
      <c r="P36" s="707"/>
      <c r="Q36" s="450"/>
      <c r="R36" s="440"/>
    </row>
    <row r="37" spans="1:18" s="391" customFormat="1" ht="204" customHeight="1">
      <c r="A37" s="441"/>
      <c r="B37" s="420"/>
      <c r="C37" s="425"/>
      <c r="D37" s="425"/>
      <c r="E37" s="425"/>
      <c r="F37" s="419"/>
      <c r="G37" s="425"/>
      <c r="H37" s="425"/>
      <c r="I37" s="425"/>
      <c r="J37" s="418"/>
      <c r="K37" s="518"/>
      <c r="L37" s="577" t="s">
        <v>428</v>
      </c>
      <c r="M37" s="534">
        <f>47+45+154.4</f>
        <v>246.4</v>
      </c>
      <c r="N37" s="700"/>
      <c r="O37" s="534">
        <f>479.52+3.71+1+5+0.5+1+0.5+80+30+120+27.11</f>
        <v>748.34</v>
      </c>
      <c r="P37" s="707"/>
      <c r="Q37" s="555"/>
    </row>
    <row r="38" spans="1:18" s="391" customFormat="1" ht="129" customHeight="1">
      <c r="A38" s="441"/>
      <c r="B38" s="420"/>
      <c r="C38" s="425"/>
      <c r="D38" s="425"/>
      <c r="E38" s="425"/>
      <c r="F38" s="419"/>
      <c r="G38" s="425"/>
      <c r="H38" s="425"/>
      <c r="I38" s="425"/>
      <c r="J38" s="418"/>
      <c r="K38" s="518"/>
      <c r="L38" s="577" t="s">
        <v>429</v>
      </c>
      <c r="M38" s="421">
        <v>4175.8999999999996</v>
      </c>
      <c r="N38" s="701"/>
      <c r="O38" s="534">
        <f>3362.87+27.2</f>
        <v>3390.0699999999997</v>
      </c>
      <c r="P38" s="707"/>
      <c r="Q38" s="556"/>
    </row>
    <row r="39" spans="1:18" s="391" customFormat="1" ht="225.75" customHeight="1">
      <c r="A39" s="451"/>
      <c r="B39" s="452"/>
      <c r="C39" s="517"/>
      <c r="D39" s="517"/>
      <c r="E39" s="517"/>
      <c r="F39" s="515"/>
      <c r="G39" s="425"/>
      <c r="H39" s="425"/>
      <c r="I39" s="425"/>
      <c r="J39" s="418"/>
      <c r="K39" s="537"/>
      <c r="L39" s="579" t="s">
        <v>430</v>
      </c>
      <c r="M39" s="543"/>
      <c r="N39" s="548"/>
      <c r="O39" s="421">
        <f>370+181.92+370+185+369.72+185.6+369.9+370+367.92+355.15+370+1175.4+370+370+185+1195.71</f>
        <v>6791.3200000000006</v>
      </c>
      <c r="P39" s="551"/>
      <c r="Q39" s="556"/>
    </row>
    <row r="40" spans="1:18" s="391" customFormat="1" ht="263.25" customHeight="1">
      <c r="A40" s="564" t="s">
        <v>60</v>
      </c>
      <c r="B40" s="452" t="s">
        <v>36</v>
      </c>
      <c r="C40" s="517">
        <v>1315.1</v>
      </c>
      <c r="D40" s="580"/>
      <c r="E40" s="454"/>
      <c r="F40" s="429">
        <f>E40+D40+C40</f>
        <v>1315.1</v>
      </c>
      <c r="G40" s="454">
        <v>678.6</v>
      </c>
      <c r="H40" s="454"/>
      <c r="I40" s="454"/>
      <c r="J40" s="429">
        <f>I40+H40+G40</f>
        <v>678.6</v>
      </c>
      <c r="K40" s="537">
        <f>J40*100/F40</f>
        <v>51.600638734696986</v>
      </c>
      <c r="L40" s="388" t="s">
        <v>431</v>
      </c>
      <c r="M40" s="455">
        <f>1.1+1+15.3+25.9+33.1+20+7.5+8+21.3+39.4+0.5+8.9</f>
        <v>182.00000000000003</v>
      </c>
      <c r="N40" s="390"/>
      <c r="O40" s="389">
        <f>33+66+32.5+93.5+12.48+22.8+13.44+24.96+82.5+189+7.4+4.2+79.84+6.6+1.68+6.5+2.2</f>
        <v>678.6</v>
      </c>
      <c r="P40" s="555"/>
      <c r="Q40" s="556"/>
    </row>
    <row r="41" spans="1:18" s="391" customFormat="1" ht="195" customHeight="1">
      <c r="A41" s="521" t="s">
        <v>28</v>
      </c>
      <c r="B41" s="561" t="s">
        <v>83</v>
      </c>
      <c r="C41" s="514">
        <v>6704.5</v>
      </c>
      <c r="D41" s="514">
        <v>384.6</v>
      </c>
      <c r="E41" s="516"/>
      <c r="F41" s="567">
        <f>E41+D41+C41</f>
        <v>7089.1</v>
      </c>
      <c r="G41" s="514">
        <v>3323.1</v>
      </c>
      <c r="H41" s="514"/>
      <c r="I41" s="514"/>
      <c r="J41" s="514">
        <f>I41+H41+G41</f>
        <v>3323.1</v>
      </c>
      <c r="K41" s="536">
        <f>J41*100/F41</f>
        <v>46.876190207501658</v>
      </c>
      <c r="L41" s="388" t="s">
        <v>387</v>
      </c>
      <c r="M41" s="456">
        <f>3822.7+32.8+14+40.9</f>
        <v>3910.4</v>
      </c>
      <c r="N41" s="457"/>
      <c r="O41" s="520">
        <f>2987.2+289.7+46.2</f>
        <v>3323.0999999999995</v>
      </c>
      <c r="P41" s="552"/>
      <c r="Q41" s="549"/>
    </row>
    <row r="42" spans="1:18" s="391" customFormat="1" ht="78">
      <c r="A42" s="521" t="s">
        <v>29</v>
      </c>
      <c r="B42" s="458" t="s">
        <v>82</v>
      </c>
      <c r="C42" s="429">
        <f t="shared" ref="C42:J42" si="1">C43+C45+C53+C57+C59</f>
        <v>163962.6</v>
      </c>
      <c r="D42" s="429">
        <f t="shared" si="1"/>
        <v>609.70000000000005</v>
      </c>
      <c r="E42" s="429">
        <f t="shared" si="1"/>
        <v>221.9</v>
      </c>
      <c r="F42" s="429">
        <f t="shared" si="1"/>
        <v>164794.19999999998</v>
      </c>
      <c r="G42" s="515">
        <f t="shared" si="1"/>
        <v>69635.3</v>
      </c>
      <c r="H42" s="515">
        <f t="shared" si="1"/>
        <v>192.4</v>
      </c>
      <c r="I42" s="515">
        <f t="shared" si="1"/>
        <v>221.9</v>
      </c>
      <c r="J42" s="515">
        <f t="shared" si="1"/>
        <v>70049.599999999991</v>
      </c>
      <c r="K42" s="537">
        <f>J42*100/F42</f>
        <v>42.507321252811082</v>
      </c>
      <c r="L42" s="452"/>
      <c r="M42" s="389"/>
      <c r="N42" s="390"/>
      <c r="O42" s="389"/>
      <c r="P42" s="555"/>
      <c r="Q42" s="556"/>
    </row>
    <row r="43" spans="1:18" s="391" customFormat="1" ht="353.25" customHeight="1">
      <c r="A43" s="745" t="s">
        <v>61</v>
      </c>
      <c r="B43" s="743" t="s">
        <v>3</v>
      </c>
      <c r="C43" s="755">
        <v>42960.1</v>
      </c>
      <c r="D43" s="755"/>
      <c r="E43" s="755"/>
      <c r="F43" s="757">
        <f>E43+D43+C43</f>
        <v>42960.1</v>
      </c>
      <c r="G43" s="753">
        <v>15782.1</v>
      </c>
      <c r="H43" s="753"/>
      <c r="I43" s="753"/>
      <c r="J43" s="751">
        <f>I43+H43+G43</f>
        <v>15782.1</v>
      </c>
      <c r="K43" s="747">
        <f>J43*100/F43</f>
        <v>36.736646329966646</v>
      </c>
      <c r="L43" s="431" t="s">
        <v>406</v>
      </c>
      <c r="M43" s="520">
        <f>10320.32+2957.91+31.2+3.5+63.39+1642.51+215.53+267.9+11.3+196.35+19.45+199+0.4+12.96+0.25+137.03</f>
        <v>16079</v>
      </c>
      <c r="N43" s="708" t="e">
        <f>M43+M44+#REF!+#REF!+#REF!</f>
        <v>#REF!</v>
      </c>
      <c r="O43" s="520">
        <f>8537.04+2217.92+57.7+1438.35+144.86+236.94+93.85+10.95+188.82+5.91+19.4+29.51+14.98+244.8</f>
        <v>13241.030000000002</v>
      </c>
      <c r="P43" s="535">
        <f>O43+O44</f>
        <v>15782.100000000002</v>
      </c>
      <c r="Q43" s="512">
        <f>J43-P43</f>
        <v>0</v>
      </c>
    </row>
    <row r="44" spans="1:18" s="391" customFormat="1" ht="294.75" customHeight="1">
      <c r="A44" s="746"/>
      <c r="B44" s="744"/>
      <c r="C44" s="756"/>
      <c r="D44" s="756"/>
      <c r="E44" s="756"/>
      <c r="F44" s="758"/>
      <c r="G44" s="754"/>
      <c r="H44" s="754"/>
      <c r="I44" s="754"/>
      <c r="J44" s="752"/>
      <c r="K44" s="748"/>
      <c r="L44" s="420" t="s">
        <v>453</v>
      </c>
      <c r="M44" s="533">
        <f>1.5+27.08+10+35.78+384.4+34.9+8.1+9.84+4.31+150+4+7+3+6.65+6.96+37.52+4.42+9.9+17.92+3+10.45+25+10.39</f>
        <v>812.11999999999989</v>
      </c>
      <c r="N44" s="705"/>
      <c r="O44" s="421">
        <f>7+5.98+30+37.21+24.5+5+4.16+131+3+52.47+136.4+168+12.83+159.69+39.94+1.3+51.28+29.13+60.6+6.9+9.94+3.26+19+168+5+14.84+2.78+150.3+187.8+62.5+80.1+871.16</f>
        <v>2541.0699999999997</v>
      </c>
      <c r="P44" s="553"/>
      <c r="Q44" s="557"/>
    </row>
    <row r="45" spans="1:18" s="391" customFormat="1" ht="326.25" customHeight="1">
      <c r="A45" s="563" t="s">
        <v>62</v>
      </c>
      <c r="B45" s="562" t="s">
        <v>2</v>
      </c>
      <c r="C45" s="516">
        <v>55149.599999999999</v>
      </c>
      <c r="D45" s="516">
        <v>548.1</v>
      </c>
      <c r="E45" s="516">
        <v>221.9</v>
      </c>
      <c r="F45" s="514">
        <f>E45+D45+C45</f>
        <v>55919.6</v>
      </c>
      <c r="G45" s="516">
        <v>23658.5</v>
      </c>
      <c r="H45" s="516">
        <v>192.4</v>
      </c>
      <c r="I45" s="516">
        <v>221.9</v>
      </c>
      <c r="J45" s="514">
        <f>G45+I45+H45</f>
        <v>24072.800000000003</v>
      </c>
      <c r="K45" s="536">
        <f>J45*100/F45</f>
        <v>43.04894884798891</v>
      </c>
      <c r="L45" s="558" t="s">
        <v>418</v>
      </c>
      <c r="M45" s="520">
        <f>17176.33+4967.85+144.27+916.2+165.06+77.19+95.4+9.45+79.96+1.72+229.17</f>
        <v>23862.600000000002</v>
      </c>
      <c r="N45" s="713">
        <f>SUM(M45:M50)</f>
        <v>31436.95</v>
      </c>
      <c r="O45" s="520">
        <f>11608.53+2845.54+123.13+709.67+75.3+373.05+41.53+126.94+246.08+40.1+3.14+207.61+516.83</f>
        <v>16917.45</v>
      </c>
      <c r="P45" s="538">
        <f>O45+O46+O47+O48+O49+O50+O52+O51</f>
        <v>24072.800000000003</v>
      </c>
      <c r="Q45" s="512">
        <f>J45-P45</f>
        <v>0</v>
      </c>
    </row>
    <row r="46" spans="1:18" s="391" customFormat="1" ht="129" customHeight="1">
      <c r="A46" s="422"/>
      <c r="B46" s="460"/>
      <c r="C46" s="425"/>
      <c r="D46" s="425"/>
      <c r="E46" s="425"/>
      <c r="F46" s="419"/>
      <c r="G46" s="425"/>
      <c r="H46" s="425"/>
      <c r="I46" s="425"/>
      <c r="J46" s="419"/>
      <c r="K46" s="518"/>
      <c r="L46" s="559" t="s">
        <v>412</v>
      </c>
      <c r="M46" s="534">
        <f>26.5+31.34+50+9.37+30+524.58+0.83+234.4+7.3+91.5+93.9+77.8+4.08+4.59+200+39.99+35.96+14.71+11.97+117.28</f>
        <v>1606.1</v>
      </c>
      <c r="N46" s="714"/>
      <c r="O46" s="534">
        <f>11.94+60+39.72+33.8+51.18+5.5+115.93+32.13+200+796.3+30+42+74.83+61.57</f>
        <v>1554.8999999999999</v>
      </c>
      <c r="P46" s="550"/>
      <c r="Q46" s="556"/>
    </row>
    <row r="47" spans="1:18" s="391" customFormat="1" ht="78.75" customHeight="1">
      <c r="A47" s="422"/>
      <c r="B47" s="460"/>
      <c r="C47" s="425"/>
      <c r="D47" s="425"/>
      <c r="E47" s="425"/>
      <c r="F47" s="419"/>
      <c r="G47" s="425"/>
      <c r="H47" s="425"/>
      <c r="I47" s="425"/>
      <c r="J47" s="419"/>
      <c r="K47" s="518"/>
      <c r="L47" s="559" t="s">
        <v>413</v>
      </c>
      <c r="M47" s="534">
        <f>6.79+332.5</f>
        <v>339.29</v>
      </c>
      <c r="N47" s="714"/>
      <c r="O47" s="534">
        <f>3.63+177.85</f>
        <v>181.48</v>
      </c>
      <c r="P47" s="550"/>
      <c r="Q47" s="556"/>
    </row>
    <row r="48" spans="1:18" s="391" customFormat="1" ht="78.75" customHeight="1">
      <c r="A48" s="422"/>
      <c r="B48" s="460"/>
      <c r="C48" s="425"/>
      <c r="D48" s="425"/>
      <c r="E48" s="425"/>
      <c r="F48" s="419"/>
      <c r="G48" s="425"/>
      <c r="H48" s="425"/>
      <c r="I48" s="425"/>
      <c r="J48" s="419"/>
      <c r="K48" s="518"/>
      <c r="L48" s="581" t="s">
        <v>417</v>
      </c>
      <c r="M48" s="534"/>
      <c r="N48" s="714"/>
      <c r="O48" s="534">
        <f>2.8+13.54+121.9</f>
        <v>138.24</v>
      </c>
      <c r="P48" s="550"/>
      <c r="Q48" s="556"/>
    </row>
    <row r="49" spans="1:19" s="391" customFormat="1" ht="312" customHeight="1">
      <c r="A49" s="422"/>
      <c r="B49" s="460"/>
      <c r="C49" s="425"/>
      <c r="D49" s="425"/>
      <c r="E49" s="425"/>
      <c r="F49" s="419"/>
      <c r="G49" s="425"/>
      <c r="H49" s="425"/>
      <c r="I49" s="425"/>
      <c r="J49" s="419"/>
      <c r="K49" s="518"/>
      <c r="L49" s="559" t="s">
        <v>414</v>
      </c>
      <c r="M49" s="534">
        <f>1835.14+527.19+26.66+204.47+102.85+134.34+113.93+144.55+19.09+28.5+12.89+0.09+4.37+24.43+1.13</f>
        <v>3179.6299999999997</v>
      </c>
      <c r="N49" s="714"/>
      <c r="O49" s="534">
        <f>1252.13+346.51+172.42+42.43+143.2+4.53+122.01+1.35+28.5+34.04+3.28+306.56</f>
        <v>2456.9600000000005</v>
      </c>
      <c r="P49" s="550"/>
      <c r="Q49" s="556"/>
    </row>
    <row r="50" spans="1:19" s="391" customFormat="1" ht="173.25" customHeight="1">
      <c r="A50" s="422"/>
      <c r="B50" s="460"/>
      <c r="C50" s="425"/>
      <c r="D50" s="425"/>
      <c r="E50" s="425"/>
      <c r="F50" s="419"/>
      <c r="G50" s="425"/>
      <c r="H50" s="425"/>
      <c r="I50" s="425"/>
      <c r="J50" s="419"/>
      <c r="K50" s="518"/>
      <c r="L50" s="559" t="s">
        <v>415</v>
      </c>
      <c r="M50" s="533">
        <f>3.46+13+2.4+20+4.5+11+50+5.1+10.5+2.1+500+220+32.66+8.85+25+2+22+22+5.4+24.6+8.4+17.03+27.61+1299.96+4.9+23.2+8+5.21+10.6+9.25+50.6</f>
        <v>2449.3299999999995</v>
      </c>
      <c r="N50" s="714"/>
      <c r="O50" s="421">
        <f>3.2+3.5+13+4+10+3+300+150+9.13+18+4.95+37.34+599.8+10+2+7+18+131.1+1358.18</f>
        <v>2682.2</v>
      </c>
      <c r="P50" s="553"/>
      <c r="Q50" s="557"/>
    </row>
    <row r="51" spans="1:19" s="391" customFormat="1" ht="62.25" customHeight="1">
      <c r="A51" s="422"/>
      <c r="B51" s="460"/>
      <c r="C51" s="425"/>
      <c r="D51" s="425"/>
      <c r="E51" s="425"/>
      <c r="F51" s="419"/>
      <c r="G51" s="425"/>
      <c r="H51" s="425"/>
      <c r="I51" s="425"/>
      <c r="J51" s="419"/>
      <c r="K51" s="518"/>
      <c r="L51" s="559" t="s">
        <v>416</v>
      </c>
      <c r="M51" s="533"/>
      <c r="N51" s="554"/>
      <c r="O51" s="534">
        <v>38.5</v>
      </c>
      <c r="P51" s="550"/>
      <c r="Q51" s="557"/>
    </row>
    <row r="52" spans="1:19" s="391" customFormat="1" ht="98.25" customHeight="1">
      <c r="A52" s="422"/>
      <c r="B52" s="460"/>
      <c r="C52" s="425"/>
      <c r="D52" s="425"/>
      <c r="E52" s="425"/>
      <c r="F52" s="419"/>
      <c r="G52" s="425"/>
      <c r="H52" s="425"/>
      <c r="I52" s="425"/>
      <c r="J52" s="419"/>
      <c r="K52" s="518"/>
      <c r="L52" s="581" t="s">
        <v>454</v>
      </c>
      <c r="M52" s="533"/>
      <c r="N52" s="554"/>
      <c r="O52" s="534">
        <f>2.06+1.01+100</f>
        <v>103.07</v>
      </c>
      <c r="P52" s="550"/>
      <c r="Q52" s="557"/>
    </row>
    <row r="53" spans="1:19" s="391" customFormat="1" ht="243" customHeight="1">
      <c r="A53" s="563" t="s">
        <v>63</v>
      </c>
      <c r="B53" s="461" t="s">
        <v>4</v>
      </c>
      <c r="C53" s="516">
        <v>26418.799999999999</v>
      </c>
      <c r="D53" s="516">
        <v>61.6</v>
      </c>
      <c r="E53" s="516"/>
      <c r="F53" s="514">
        <f>E53+D53+C53</f>
        <v>26480.399999999998</v>
      </c>
      <c r="G53" s="516">
        <v>11847.3</v>
      </c>
      <c r="H53" s="516"/>
      <c r="I53" s="516"/>
      <c r="J53" s="514">
        <f>G53+H53+I53</f>
        <v>11847.3</v>
      </c>
      <c r="K53" s="536">
        <f>J53/F53*100</f>
        <v>44.739883083337112</v>
      </c>
      <c r="L53" s="582" t="s">
        <v>410</v>
      </c>
      <c r="M53" s="520">
        <v>342.5</v>
      </c>
      <c r="N53" s="713">
        <f>M53+M55+M56</f>
        <v>1366</v>
      </c>
      <c r="O53" s="520">
        <f>6877.42+1529.19+7.99+538.52+25.42+68.49+2.4+4.1+396.77</f>
        <v>9450.3000000000011</v>
      </c>
      <c r="P53" s="549">
        <f>O53+O54+O55+O56</f>
        <v>11847.3</v>
      </c>
      <c r="Q53" s="555">
        <f>J53-P53</f>
        <v>0</v>
      </c>
      <c r="R53" s="462">
        <f>J53-Q53</f>
        <v>11847.3</v>
      </c>
    </row>
    <row r="54" spans="1:19" s="391" customFormat="1" ht="131.25" customHeight="1">
      <c r="A54" s="422"/>
      <c r="B54" s="463"/>
      <c r="C54" s="425"/>
      <c r="D54" s="425"/>
      <c r="E54" s="425"/>
      <c r="F54" s="419"/>
      <c r="G54" s="425"/>
      <c r="H54" s="425"/>
      <c r="I54" s="425"/>
      <c r="J54" s="419"/>
      <c r="K54" s="518"/>
      <c r="L54" s="420" t="s">
        <v>409</v>
      </c>
      <c r="M54" s="534"/>
      <c r="N54" s="714"/>
      <c r="O54" s="534">
        <f>211+93.15+6.05+5.48+707.9+549.62</f>
        <v>1573.1999999999998</v>
      </c>
      <c r="P54" s="550"/>
      <c r="Q54" s="556"/>
      <c r="R54" s="462"/>
    </row>
    <row r="55" spans="1:19" s="391" customFormat="1" ht="335.25" customHeight="1">
      <c r="A55" s="422"/>
      <c r="B55" s="463"/>
      <c r="C55" s="425"/>
      <c r="D55" s="425"/>
      <c r="E55" s="425"/>
      <c r="F55" s="419"/>
      <c r="G55" s="425"/>
      <c r="H55" s="425"/>
      <c r="I55" s="425"/>
      <c r="J55" s="419"/>
      <c r="K55" s="518"/>
      <c r="L55" s="583" t="s">
        <v>407</v>
      </c>
      <c r="M55" s="534">
        <f>10+15.25+20+7+113.65+24.6+7+6.1+30+3+7.2+6.1+11.19+3+6+15+3+7.72+15+5.6+96+33.16+109+4.23+10</f>
        <v>568.80000000000007</v>
      </c>
      <c r="N55" s="714"/>
      <c r="O55" s="442">
        <f>8.64+25+20+7.48+23.88+47.6+62.36+6+45.84+117+4+3.6+7+2.25+10.76+6.78+15+7.74+11.4+4.61+2.4+2+7.26+2.8+1.53+6.28+6.59</f>
        <v>465.79999999999984</v>
      </c>
      <c r="P55" s="534"/>
      <c r="Q55" s="556"/>
    </row>
    <row r="56" spans="1:19" s="391" customFormat="1" ht="183.75" customHeight="1">
      <c r="A56" s="422"/>
      <c r="B56" s="463"/>
      <c r="C56" s="425"/>
      <c r="D56" s="425"/>
      <c r="E56" s="425"/>
      <c r="F56" s="419"/>
      <c r="G56" s="425"/>
      <c r="H56" s="425"/>
      <c r="I56" s="425"/>
      <c r="J56" s="419"/>
      <c r="K56" s="518"/>
      <c r="L56" s="426" t="s">
        <v>408</v>
      </c>
      <c r="M56" s="421">
        <f>10.5+49.69+121+128.33+10.31+25+35.9+14+25.97+30+4</f>
        <v>454.69999999999993</v>
      </c>
      <c r="N56" s="715"/>
      <c r="O56" s="421">
        <f>30.7+264.1+13.1+40+10.1</f>
        <v>358.00000000000006</v>
      </c>
      <c r="P56" s="553"/>
      <c r="Q56" s="556"/>
    </row>
    <row r="57" spans="1:19" s="391" customFormat="1" ht="221.25" customHeight="1">
      <c r="A57" s="563" t="s">
        <v>64</v>
      </c>
      <c r="B57" s="464" t="s">
        <v>38</v>
      </c>
      <c r="C57" s="516">
        <v>36208.699999999997</v>
      </c>
      <c r="D57" s="516"/>
      <c r="E57" s="516"/>
      <c r="F57" s="514">
        <f>E57+D57+C57</f>
        <v>36208.699999999997</v>
      </c>
      <c r="G57" s="516">
        <v>16705.599999999999</v>
      </c>
      <c r="H57" s="516"/>
      <c r="I57" s="516"/>
      <c r="J57" s="514">
        <f>I57+H57+G57</f>
        <v>16705.599999999999</v>
      </c>
      <c r="K57" s="536">
        <f>J57*100/F57</f>
        <v>46.136978129565541</v>
      </c>
      <c r="L57" s="388" t="s">
        <v>405</v>
      </c>
      <c r="M57" s="465">
        <f>3961.47+1099.01+16.81+7.7+268.76+8+3.5</f>
        <v>5365.25</v>
      </c>
      <c r="N57" s="713">
        <f>M57+M58</f>
        <v>22512.099999999995</v>
      </c>
      <c r="O57" s="520">
        <f>2570.35+592.44+1.9+190.06+1.35+38.35+16.6+0.3</f>
        <v>3411.35</v>
      </c>
      <c r="P57" s="702">
        <f>O57+O58</f>
        <v>16705.599999999999</v>
      </c>
      <c r="Q57" s="716">
        <f>J57-P57</f>
        <v>0</v>
      </c>
    </row>
    <row r="58" spans="1:19" s="391" customFormat="1" ht="273" customHeight="1">
      <c r="A58" s="564"/>
      <c r="B58" s="466"/>
      <c r="C58" s="517"/>
      <c r="D58" s="517"/>
      <c r="E58" s="517"/>
      <c r="F58" s="515"/>
      <c r="G58" s="517"/>
      <c r="H58" s="517"/>
      <c r="I58" s="517"/>
      <c r="J58" s="515"/>
      <c r="K58" s="537"/>
      <c r="L58" s="452" t="s">
        <v>411</v>
      </c>
      <c r="M58" s="446">
        <f>12954.75+3628.12+59.06+114.09+161.69+8.42+185.54+5.76+3.73+25.69</f>
        <v>17146.849999999995</v>
      </c>
      <c r="N58" s="715"/>
      <c r="O58" s="421">
        <f>10352.96+2481.55+11.18+43.95+104.84+9.26+90.78+159.73+38.2+1.8</f>
        <v>13294.25</v>
      </c>
      <c r="P58" s="712"/>
      <c r="Q58" s="716"/>
    </row>
    <row r="59" spans="1:19" s="391" customFormat="1" ht="210.75" customHeight="1">
      <c r="A59" s="422" t="s">
        <v>65</v>
      </c>
      <c r="B59" s="463" t="s">
        <v>6</v>
      </c>
      <c r="C59" s="425">
        <v>3225.4</v>
      </c>
      <c r="D59" s="425"/>
      <c r="E59" s="419"/>
      <c r="F59" s="419">
        <f>E59+D59+C59</f>
        <v>3225.4</v>
      </c>
      <c r="G59" s="425">
        <v>1641.8</v>
      </c>
      <c r="H59" s="425"/>
      <c r="I59" s="425"/>
      <c r="J59" s="419">
        <f>I59+H59+G59</f>
        <v>1641.8</v>
      </c>
      <c r="K59" s="518">
        <f>J59*100/F59</f>
        <v>50.902213678923545</v>
      </c>
      <c r="L59" s="420" t="s">
        <v>404</v>
      </c>
      <c r="M59" s="520">
        <f>957.78+275.7+12.5+2.4+20+4.1+28.1+24.82</f>
        <v>1325.3999999999999</v>
      </c>
      <c r="N59" s="717">
        <f>M59+M60</f>
        <v>1616.3999999999999</v>
      </c>
      <c r="O59" s="520">
        <f>758.5+193.4+4.3+15+29.3+0.3+8.5+162</f>
        <v>1171.2999999999997</v>
      </c>
      <c r="P59" s="702">
        <f>O59+O60</f>
        <v>1641.7999999999997</v>
      </c>
      <c r="Q59" s="716">
        <f>J59-P59</f>
        <v>0</v>
      </c>
      <c r="R59" s="547">
        <f>758.5+193.4+4.3+15+29.3+0.3+8.6+162</f>
        <v>1171.3999999999999</v>
      </c>
    </row>
    <row r="60" spans="1:19" s="391" customFormat="1" ht="222" customHeight="1">
      <c r="A60" s="564"/>
      <c r="B60" s="467"/>
      <c r="C60" s="517"/>
      <c r="D60" s="468"/>
      <c r="E60" s="515"/>
      <c r="F60" s="515"/>
      <c r="G60" s="517"/>
      <c r="H60" s="517"/>
      <c r="I60" s="517"/>
      <c r="J60" s="515"/>
      <c r="K60" s="537"/>
      <c r="L60" s="452" t="s">
        <v>455</v>
      </c>
      <c r="M60" s="421">
        <f>14+2.4+54.98+38.74+28.8+11.2+50+31.8+37+21+1+0.08</f>
        <v>291</v>
      </c>
      <c r="N60" s="718"/>
      <c r="O60" s="469">
        <f>3+12.5+99+2+5+2.1+176+170.9</f>
        <v>470.5</v>
      </c>
      <c r="P60" s="712"/>
      <c r="Q60" s="719"/>
    </row>
    <row r="61" spans="1:19" s="391" customFormat="1" ht="369" customHeight="1">
      <c r="A61" s="521" t="s">
        <v>31</v>
      </c>
      <c r="B61" s="470" t="s">
        <v>72</v>
      </c>
      <c r="C61" s="514">
        <v>68753.600000000006</v>
      </c>
      <c r="D61" s="514">
        <v>1409</v>
      </c>
      <c r="E61" s="514"/>
      <c r="F61" s="514">
        <f>E61+D61+C61</f>
        <v>70162.600000000006</v>
      </c>
      <c r="G61" s="514">
        <v>29556.3</v>
      </c>
      <c r="H61" s="584">
        <v>1108.5999999999999</v>
      </c>
      <c r="I61" s="514"/>
      <c r="J61" s="514">
        <f>I61+H61+G61</f>
        <v>30664.899999999998</v>
      </c>
      <c r="K61" s="536">
        <f>J61*100/F61</f>
        <v>43.705478417276439</v>
      </c>
      <c r="L61" s="582" t="s">
        <v>403</v>
      </c>
      <c r="M61" s="520">
        <f>9.5+8.4+6.5+9.05+13.64+6</f>
        <v>53.09</v>
      </c>
      <c r="N61" s="713" t="e">
        <f>M61+M62+#REF!+M66+M67+#REF!+M69+#REF!+#REF!</f>
        <v>#REF!</v>
      </c>
      <c r="O61" s="520">
        <f>12.55+21.41+8.21+8.1+8.6+8.94+11+8.9+3.9+16.21+72+31.87+9.62+93.44</f>
        <v>314.75</v>
      </c>
      <c r="P61" s="720">
        <f>O61+O62+O64+O63+O65+O66+O67+O68+O69+O70</f>
        <v>30664.899999999994</v>
      </c>
      <c r="Q61" s="524">
        <f>J61-P61</f>
        <v>0</v>
      </c>
      <c r="R61" s="555">
        <f>J61-P61</f>
        <v>0</v>
      </c>
      <c r="S61" s="471"/>
    </row>
    <row r="62" spans="1:19" s="391" customFormat="1" ht="382.5" customHeight="1">
      <c r="A62" s="416"/>
      <c r="B62" s="443"/>
      <c r="C62" s="419"/>
      <c r="D62" s="419"/>
      <c r="E62" s="425"/>
      <c r="F62" s="419"/>
      <c r="G62" s="419"/>
      <c r="H62" s="419"/>
      <c r="I62" s="419"/>
      <c r="J62" s="419"/>
      <c r="K62" s="518"/>
      <c r="L62" s="426" t="s">
        <v>394</v>
      </c>
      <c r="M62" s="534">
        <f>3039.83+865.66+4.9+60.7</f>
        <v>3971.0899999999997</v>
      </c>
      <c r="N62" s="714"/>
      <c r="O62" s="534">
        <f>14446.23+3577.79+12.67+633.22+105.17+216.85+11.88+31.96+1.09+106.85+14.56+5.23+52.05+314.59</f>
        <v>19530.139999999996</v>
      </c>
      <c r="P62" s="721"/>
      <c r="Q62" s="556"/>
    </row>
    <row r="63" spans="1:19" s="391" customFormat="1" ht="95.25" customHeight="1">
      <c r="A63" s="416"/>
      <c r="B63" s="443"/>
      <c r="C63" s="419"/>
      <c r="D63" s="419"/>
      <c r="E63" s="425"/>
      <c r="F63" s="419"/>
      <c r="G63" s="419"/>
      <c r="H63" s="419"/>
      <c r="I63" s="419"/>
      <c r="J63" s="419"/>
      <c r="K63" s="518"/>
      <c r="L63" s="568" t="s">
        <v>401</v>
      </c>
      <c r="M63" s="534"/>
      <c r="N63" s="714"/>
      <c r="O63" s="534">
        <f>919+189.6</f>
        <v>1108.5999999999999</v>
      </c>
      <c r="P63" s="721"/>
      <c r="Q63" s="556"/>
    </row>
    <row r="64" spans="1:19" s="391" customFormat="1" ht="96" customHeight="1">
      <c r="A64" s="416"/>
      <c r="B64" s="443"/>
      <c r="C64" s="419"/>
      <c r="D64" s="419"/>
      <c r="E64" s="425"/>
      <c r="F64" s="419"/>
      <c r="G64" s="419"/>
      <c r="H64" s="419"/>
      <c r="I64" s="419"/>
      <c r="J64" s="419"/>
      <c r="K64" s="518"/>
      <c r="L64" s="426" t="s">
        <v>395</v>
      </c>
      <c r="M64" s="534"/>
      <c r="N64" s="714"/>
      <c r="O64" s="534">
        <f>18.75+3.87</f>
        <v>22.62</v>
      </c>
      <c r="P64" s="721"/>
      <c r="Q64" s="556"/>
    </row>
    <row r="65" spans="1:17" s="391" customFormat="1" ht="80.25" customHeight="1">
      <c r="A65" s="416"/>
      <c r="B65" s="443"/>
      <c r="C65" s="419"/>
      <c r="D65" s="419"/>
      <c r="E65" s="425"/>
      <c r="F65" s="419"/>
      <c r="G65" s="419"/>
      <c r="H65" s="419"/>
      <c r="I65" s="419"/>
      <c r="J65" s="419"/>
      <c r="K65" s="518"/>
      <c r="L65" s="568" t="s">
        <v>396</v>
      </c>
      <c r="M65" s="534"/>
      <c r="N65" s="714"/>
      <c r="O65" s="534">
        <f>144+49.5</f>
        <v>193.5</v>
      </c>
      <c r="P65" s="721"/>
      <c r="Q65" s="556"/>
    </row>
    <row r="66" spans="1:17" s="391" customFormat="1" ht="84" customHeight="1">
      <c r="A66" s="416"/>
      <c r="B66" s="443"/>
      <c r="C66" s="419"/>
      <c r="D66" s="419"/>
      <c r="E66" s="425"/>
      <c r="F66" s="419"/>
      <c r="G66" s="419"/>
      <c r="H66" s="419"/>
      <c r="I66" s="419"/>
      <c r="J66" s="419"/>
      <c r="K66" s="518"/>
      <c r="L66" s="426" t="s">
        <v>397</v>
      </c>
      <c r="M66" s="534">
        <f>100+22.7</f>
        <v>122.7</v>
      </c>
      <c r="N66" s="714"/>
      <c r="O66" s="534">
        <f>100+41.08</f>
        <v>141.07999999999998</v>
      </c>
      <c r="P66" s="721"/>
      <c r="Q66" s="556"/>
    </row>
    <row r="67" spans="1:17" s="391" customFormat="1" ht="54" customHeight="1">
      <c r="A67" s="416"/>
      <c r="B67" s="443"/>
      <c r="C67" s="419"/>
      <c r="D67" s="419"/>
      <c r="E67" s="425"/>
      <c r="F67" s="419"/>
      <c r="G67" s="419"/>
      <c r="H67" s="419"/>
      <c r="I67" s="419"/>
      <c r="J67" s="419"/>
      <c r="K67" s="518"/>
      <c r="L67" s="426" t="s">
        <v>402</v>
      </c>
      <c r="M67" s="534">
        <f>47.67+1081.71+92.82</f>
        <v>1222.2</v>
      </c>
      <c r="N67" s="714"/>
      <c r="O67" s="534">
        <f>39+2921.4</f>
        <v>2960.4</v>
      </c>
      <c r="P67" s="721"/>
      <c r="Q67" s="556"/>
    </row>
    <row r="68" spans="1:17" s="391" customFormat="1" ht="154.5" customHeight="1">
      <c r="A68" s="416"/>
      <c r="B68" s="443"/>
      <c r="C68" s="419"/>
      <c r="D68" s="419"/>
      <c r="E68" s="425"/>
      <c r="F68" s="419"/>
      <c r="G68" s="419"/>
      <c r="H68" s="419"/>
      <c r="I68" s="419"/>
      <c r="J68" s="419"/>
      <c r="K68" s="518"/>
      <c r="L68" s="568" t="s">
        <v>398</v>
      </c>
      <c r="M68" s="534"/>
      <c r="N68" s="714"/>
      <c r="O68" s="534">
        <f>3504.47+933.63+1.96+197.74+12.5+218.72+424.58+122.73+172.52</f>
        <v>5588.8499999999995</v>
      </c>
      <c r="P68" s="721"/>
      <c r="Q68" s="556"/>
    </row>
    <row r="69" spans="1:17" s="391" customFormat="1" ht="257.25" customHeight="1">
      <c r="A69" s="441"/>
      <c r="B69" s="443"/>
      <c r="C69" s="419"/>
      <c r="D69" s="419"/>
      <c r="E69" s="425"/>
      <c r="F69" s="419"/>
      <c r="G69" s="419"/>
      <c r="H69" s="419"/>
      <c r="I69" s="419"/>
      <c r="J69" s="419"/>
      <c r="K69" s="518"/>
      <c r="L69" s="420" t="s">
        <v>400</v>
      </c>
      <c r="M69" s="534">
        <f>12+4.56+14.5+30+25.35+9.45+21.76+12.97+8.16+10.29+4.14+8.5+4.05+12.15+6.4</f>
        <v>184.28</v>
      </c>
      <c r="N69" s="714"/>
      <c r="O69" s="421">
        <f>18.7+6.21+12.65+7.35+11.46+6.99+10.38+40+6.46+3.92+3.8+7.68+2.34+50+21.6+56+3+3.66+2.78</f>
        <v>274.97999999999996</v>
      </c>
      <c r="P69" s="722"/>
      <c r="Q69" s="556"/>
    </row>
    <row r="70" spans="1:17" s="391" customFormat="1" ht="198.75" customHeight="1">
      <c r="A70" s="441"/>
      <c r="B70" s="443"/>
      <c r="C70" s="419"/>
      <c r="D70" s="419"/>
      <c r="E70" s="425"/>
      <c r="F70" s="419"/>
      <c r="G70" s="419"/>
      <c r="H70" s="419"/>
      <c r="I70" s="419"/>
      <c r="J70" s="419"/>
      <c r="K70" s="518"/>
      <c r="L70" s="420" t="s">
        <v>399</v>
      </c>
      <c r="M70" s="543"/>
      <c r="N70" s="546"/>
      <c r="O70" s="543">
        <f>25.3+120+133.7+41.59+3.92+8.55+1.95+14.04+6.49+28+112+1.95+14.1+1.58+4.88+3.74+1.95+3.12+3.12</f>
        <v>529.98000000000013</v>
      </c>
      <c r="P70" s="524"/>
      <c r="Q70" s="556"/>
    </row>
    <row r="71" spans="1:17" s="391" customFormat="1" ht="71.25" customHeight="1">
      <c r="A71" s="511">
        <v>7</v>
      </c>
      <c r="B71" s="428" t="s">
        <v>73</v>
      </c>
      <c r="C71" s="429">
        <f t="shared" ref="C71:J71" si="2">C72+C74+C77</f>
        <v>13602.2</v>
      </c>
      <c r="D71" s="429">
        <f t="shared" si="2"/>
        <v>118617</v>
      </c>
      <c r="E71" s="429">
        <f t="shared" si="2"/>
        <v>11754.5</v>
      </c>
      <c r="F71" s="429">
        <f t="shared" si="2"/>
        <v>143973.69999999998</v>
      </c>
      <c r="G71" s="429">
        <f t="shared" si="2"/>
        <v>5997.2000000000007</v>
      </c>
      <c r="H71" s="429">
        <f t="shared" si="2"/>
        <v>50218.299999999996</v>
      </c>
      <c r="I71" s="429">
        <f t="shared" si="2"/>
        <v>11723.3</v>
      </c>
      <c r="J71" s="429">
        <f t="shared" si="2"/>
        <v>67938.8</v>
      </c>
      <c r="K71" s="430">
        <f>J71*100/F71</f>
        <v>47.188340648326751</v>
      </c>
      <c r="L71" s="431"/>
      <c r="M71" s="389"/>
      <c r="N71" s="390"/>
      <c r="O71" s="389"/>
      <c r="P71" s="555"/>
      <c r="Q71" s="556"/>
    </row>
    <row r="72" spans="1:17" s="391" customFormat="1" ht="245.25" customHeight="1">
      <c r="A72" s="473" t="s">
        <v>32</v>
      </c>
      <c r="B72" s="464" t="s">
        <v>45</v>
      </c>
      <c r="C72" s="516">
        <v>8528.4</v>
      </c>
      <c r="D72" s="516">
        <v>7456</v>
      </c>
      <c r="E72" s="516"/>
      <c r="F72" s="514">
        <f>E72+D72+C72</f>
        <v>15984.4</v>
      </c>
      <c r="G72" s="516">
        <v>3656.3</v>
      </c>
      <c r="H72" s="516">
        <v>1204.5</v>
      </c>
      <c r="I72" s="516"/>
      <c r="J72" s="514">
        <f>I72+H72+G72</f>
        <v>4860.8</v>
      </c>
      <c r="K72" s="536">
        <f>J72*100/F72</f>
        <v>30.409649408172971</v>
      </c>
      <c r="L72" s="585" t="s">
        <v>450</v>
      </c>
      <c r="M72" s="520">
        <f>5355.4+50+25.7+80+429</f>
        <v>5940.0999999999995</v>
      </c>
      <c r="N72" s="708">
        <f>M72+M73</f>
        <v>9880.9</v>
      </c>
      <c r="O72" s="520">
        <f>3520.5+30+15.8+90+272.6</f>
        <v>3928.9</v>
      </c>
      <c r="P72" s="710">
        <f>O72+O73</f>
        <v>4860.8</v>
      </c>
      <c r="Q72" s="702">
        <f>J72-P72</f>
        <v>0</v>
      </c>
    </row>
    <row r="73" spans="1:17" s="391" customFormat="1" ht="73.5" customHeight="1">
      <c r="A73" s="474"/>
      <c r="B73" s="466"/>
      <c r="C73" s="517"/>
      <c r="D73" s="517"/>
      <c r="E73" s="517"/>
      <c r="F73" s="515"/>
      <c r="G73" s="517"/>
      <c r="H73" s="517"/>
      <c r="I73" s="517"/>
      <c r="J73" s="515"/>
      <c r="K73" s="537"/>
      <c r="L73" s="577" t="s">
        <v>388</v>
      </c>
      <c r="M73" s="421">
        <v>3940.8</v>
      </c>
      <c r="N73" s="709"/>
      <c r="O73" s="421">
        <v>931.9</v>
      </c>
      <c r="P73" s="711"/>
      <c r="Q73" s="712"/>
    </row>
    <row r="74" spans="1:17" s="391" customFormat="1" ht="147.75" customHeight="1">
      <c r="A74" s="563" t="s">
        <v>34</v>
      </c>
      <c r="B74" s="464" t="s">
        <v>7</v>
      </c>
      <c r="C74" s="571"/>
      <c r="D74" s="571">
        <v>106991</v>
      </c>
      <c r="E74" s="571">
        <v>11754.5</v>
      </c>
      <c r="F74" s="572">
        <f>E74+D74+C74</f>
        <v>118745.5</v>
      </c>
      <c r="G74" s="571"/>
      <c r="H74" s="571">
        <v>45316.2</v>
      </c>
      <c r="I74" s="571">
        <v>11723.3</v>
      </c>
      <c r="J74" s="572">
        <f>G74+H74+I74</f>
        <v>57039.5</v>
      </c>
      <c r="K74" s="586">
        <f>J74*100/F74</f>
        <v>48.035083434740685</v>
      </c>
      <c r="L74" s="582" t="s">
        <v>449</v>
      </c>
      <c r="M74" s="465">
        <f>11180+33559.8</f>
        <v>44739.8</v>
      </c>
      <c r="N74" s="708" t="e">
        <f>M74+#REF!+M76</f>
        <v>#REF!</v>
      </c>
      <c r="O74" s="520">
        <f>19313.5+11723.3</f>
        <v>31036.799999999999</v>
      </c>
      <c r="P74" s="710">
        <f>O74+O75+O76</f>
        <v>57039.5</v>
      </c>
      <c r="Q74" s="702">
        <f>J74-P74</f>
        <v>0</v>
      </c>
    </row>
    <row r="75" spans="1:17" s="391" customFormat="1" ht="123" customHeight="1">
      <c r="A75" s="422"/>
      <c r="B75" s="439"/>
      <c r="C75" s="435"/>
      <c r="D75" s="435"/>
      <c r="E75" s="435"/>
      <c r="F75" s="436"/>
      <c r="G75" s="435"/>
      <c r="H75" s="435"/>
      <c r="I75" s="435"/>
      <c r="J75" s="436"/>
      <c r="K75" s="587"/>
      <c r="L75" s="426" t="s">
        <v>420</v>
      </c>
      <c r="M75" s="543"/>
      <c r="N75" s="705"/>
      <c r="O75" s="520">
        <f>3596.5+75.1+37.5+10.8+39.4+12.1+171.2+2.5+5.1</f>
        <v>3950.2</v>
      </c>
      <c r="P75" s="716"/>
      <c r="Q75" s="703"/>
    </row>
    <row r="76" spans="1:17" s="391" customFormat="1" ht="96" customHeight="1">
      <c r="A76" s="422"/>
      <c r="B76" s="466"/>
      <c r="C76" s="475"/>
      <c r="D76" s="475"/>
      <c r="E76" s="475"/>
      <c r="F76" s="476"/>
      <c r="G76" s="475"/>
      <c r="H76" s="475"/>
      <c r="I76" s="475"/>
      <c r="J76" s="476"/>
      <c r="K76" s="477"/>
      <c r="L76" s="569" t="s">
        <v>419</v>
      </c>
      <c r="M76" s="446">
        <f>22046.5+12798.3</f>
        <v>34844.800000000003</v>
      </c>
      <c r="N76" s="709"/>
      <c r="O76" s="421">
        <f>14775.6+7276.9</f>
        <v>22052.5</v>
      </c>
      <c r="P76" s="711"/>
      <c r="Q76" s="723"/>
    </row>
    <row r="77" spans="1:17" s="391" customFormat="1" ht="105.75" customHeight="1">
      <c r="A77" s="563" t="s">
        <v>35</v>
      </c>
      <c r="B77" s="461" t="s">
        <v>8</v>
      </c>
      <c r="C77" s="516">
        <v>5073.8</v>
      </c>
      <c r="D77" s="516">
        <v>4170</v>
      </c>
      <c r="E77" s="516"/>
      <c r="F77" s="514">
        <f>E77+D77+C77</f>
        <v>9243.7999999999993</v>
      </c>
      <c r="G77" s="516">
        <v>2340.9</v>
      </c>
      <c r="H77" s="516">
        <v>3697.6</v>
      </c>
      <c r="I77" s="516"/>
      <c r="J77" s="514">
        <f>I77+H77+G77</f>
        <v>6038.5</v>
      </c>
      <c r="K77" s="536">
        <f>J77*100/F77</f>
        <v>65.324866396936329</v>
      </c>
      <c r="L77" s="426" t="s">
        <v>421</v>
      </c>
      <c r="M77" s="520">
        <f>2052.2+136+21.6+195.9</f>
        <v>2405.6999999999998</v>
      </c>
      <c r="N77" s="478" t="e">
        <f>M77+#REF!</f>
        <v>#REF!</v>
      </c>
      <c r="O77" s="520">
        <f>1679.2+122.8+11.8+24.2</f>
        <v>1838</v>
      </c>
      <c r="P77" s="710">
        <f>O77+O78+O79+O80+O81</f>
        <v>6038.5</v>
      </c>
      <c r="Q77" s="702">
        <f>J77-P77</f>
        <v>0</v>
      </c>
    </row>
    <row r="78" spans="1:17" s="391" customFormat="1" ht="60" customHeight="1">
      <c r="A78" s="422"/>
      <c r="B78" s="463"/>
      <c r="C78" s="425"/>
      <c r="D78" s="425"/>
      <c r="E78" s="425"/>
      <c r="F78" s="419"/>
      <c r="G78" s="425"/>
      <c r="H78" s="425"/>
      <c r="I78" s="425"/>
      <c r="J78" s="419"/>
      <c r="K78" s="518"/>
      <c r="L78" s="568" t="s">
        <v>422</v>
      </c>
      <c r="M78" s="534"/>
      <c r="N78" s="444"/>
      <c r="O78" s="534">
        <v>29.8</v>
      </c>
      <c r="P78" s="716"/>
      <c r="Q78" s="703"/>
    </row>
    <row r="79" spans="1:17" s="391" customFormat="1" ht="100.5" customHeight="1">
      <c r="A79" s="422"/>
      <c r="B79" s="463"/>
      <c r="C79" s="425"/>
      <c r="D79" s="425"/>
      <c r="E79" s="425"/>
      <c r="F79" s="419"/>
      <c r="G79" s="425"/>
      <c r="H79" s="425"/>
      <c r="I79" s="425"/>
      <c r="J79" s="419"/>
      <c r="K79" s="518"/>
      <c r="L79" s="568" t="s">
        <v>423</v>
      </c>
      <c r="M79" s="534"/>
      <c r="N79" s="444"/>
      <c r="O79" s="534">
        <v>397.6</v>
      </c>
      <c r="P79" s="716"/>
      <c r="Q79" s="703"/>
    </row>
    <row r="80" spans="1:17" s="391" customFormat="1" ht="55.5" customHeight="1">
      <c r="A80" s="422"/>
      <c r="B80" s="463"/>
      <c r="C80" s="425"/>
      <c r="D80" s="425"/>
      <c r="E80" s="425"/>
      <c r="F80" s="419"/>
      <c r="G80" s="425"/>
      <c r="H80" s="425"/>
      <c r="I80" s="425"/>
      <c r="J80" s="419"/>
      <c r="K80" s="518"/>
      <c r="L80" s="568" t="s">
        <v>424</v>
      </c>
      <c r="M80" s="534"/>
      <c r="N80" s="444"/>
      <c r="O80" s="534">
        <f>1454.3+2243.3</f>
        <v>3697.6000000000004</v>
      </c>
      <c r="P80" s="716"/>
      <c r="Q80" s="703"/>
    </row>
    <row r="81" spans="1:22" s="391" customFormat="1" ht="57.75" customHeight="1">
      <c r="A81" s="422"/>
      <c r="B81" s="463"/>
      <c r="C81" s="425"/>
      <c r="D81" s="425"/>
      <c r="E81" s="425"/>
      <c r="F81" s="419"/>
      <c r="G81" s="425"/>
      <c r="H81" s="425"/>
      <c r="I81" s="425"/>
      <c r="J81" s="419"/>
      <c r="K81" s="518"/>
      <c r="L81" s="568" t="s">
        <v>425</v>
      </c>
      <c r="M81" s="534"/>
      <c r="N81" s="444"/>
      <c r="O81" s="421">
        <f>29.7+45.8</f>
        <v>75.5</v>
      </c>
      <c r="P81" s="711"/>
      <c r="Q81" s="723"/>
    </row>
    <row r="82" spans="1:22" s="391" customFormat="1" ht="231.75" customHeight="1">
      <c r="A82" s="479" t="s">
        <v>37</v>
      </c>
      <c r="B82" s="561" t="s">
        <v>81</v>
      </c>
      <c r="C82" s="514">
        <v>25547</v>
      </c>
      <c r="D82" s="514">
        <v>1960</v>
      </c>
      <c r="E82" s="514"/>
      <c r="F82" s="514">
        <f>E82+D82+C82</f>
        <v>27507</v>
      </c>
      <c r="G82" s="514">
        <v>12721.7</v>
      </c>
      <c r="H82" s="514">
        <v>723.3</v>
      </c>
      <c r="I82" s="514"/>
      <c r="J82" s="514">
        <f>I82+H82+G82</f>
        <v>13445</v>
      </c>
      <c r="K82" s="536">
        <f>J82*100/F82</f>
        <v>48.878467299232923</v>
      </c>
      <c r="L82" s="562" t="s">
        <v>378</v>
      </c>
      <c r="M82" s="449">
        <f>9556.7+2688.8+172.6+1474.5+454.5+500.3+138.4+204.4+9+349.8+147.85+22.53</f>
        <v>15719.38</v>
      </c>
      <c r="N82" s="731">
        <f>M82+M83+M84+M86</f>
        <v>16259.9</v>
      </c>
      <c r="O82" s="449">
        <f>7449.7+1871.8+119.5+145.9+442.6+259.4+96.9+388.2+69+1527.8</f>
        <v>12370.8</v>
      </c>
      <c r="P82" s="710">
        <f>O82+O83+O84+O85+O86</f>
        <v>13444.999999999998</v>
      </c>
      <c r="Q82" s="702">
        <f>J82-P82</f>
        <v>0</v>
      </c>
      <c r="R82" s="724"/>
    </row>
    <row r="83" spans="1:22" s="391" customFormat="1" ht="61.5" customHeight="1">
      <c r="A83" s="480"/>
      <c r="B83" s="472"/>
      <c r="C83" s="419"/>
      <c r="D83" s="419"/>
      <c r="E83" s="419"/>
      <c r="F83" s="419"/>
      <c r="G83" s="419"/>
      <c r="H83" s="419"/>
      <c r="I83" s="419"/>
      <c r="J83" s="419"/>
      <c r="K83" s="518"/>
      <c r="L83" s="588" t="s">
        <v>375</v>
      </c>
      <c r="M83" s="442">
        <v>113.5</v>
      </c>
      <c r="N83" s="732"/>
      <c r="O83" s="534">
        <v>64</v>
      </c>
      <c r="P83" s="716"/>
      <c r="Q83" s="734"/>
      <c r="R83" s="725"/>
    </row>
    <row r="84" spans="1:22" s="391" customFormat="1" ht="57" customHeight="1">
      <c r="A84" s="481"/>
      <c r="B84" s="472"/>
      <c r="C84" s="419"/>
      <c r="D84" s="419"/>
      <c r="E84" s="419"/>
      <c r="F84" s="419"/>
      <c r="G84" s="419"/>
      <c r="H84" s="419"/>
      <c r="I84" s="419"/>
      <c r="J84" s="419"/>
      <c r="K84" s="518"/>
      <c r="L84" s="588" t="s">
        <v>376</v>
      </c>
      <c r="M84" s="442">
        <f>271+50</f>
        <v>321</v>
      </c>
      <c r="N84" s="732"/>
      <c r="O84" s="534">
        <v>117</v>
      </c>
      <c r="P84" s="716"/>
      <c r="Q84" s="734"/>
      <c r="R84" s="725"/>
    </row>
    <row r="85" spans="1:22" s="391" customFormat="1" ht="89.25" customHeight="1">
      <c r="A85" s="481"/>
      <c r="B85" s="472"/>
      <c r="C85" s="419"/>
      <c r="D85" s="419"/>
      <c r="E85" s="419"/>
      <c r="F85" s="419"/>
      <c r="G85" s="419"/>
      <c r="H85" s="419"/>
      <c r="I85" s="419"/>
      <c r="J85" s="419"/>
      <c r="K85" s="518"/>
      <c r="L85" s="472" t="s">
        <v>379</v>
      </c>
      <c r="M85" s="442"/>
      <c r="N85" s="732"/>
      <c r="O85" s="534">
        <v>723.3</v>
      </c>
      <c r="P85" s="716"/>
      <c r="Q85" s="734"/>
      <c r="R85" s="725"/>
    </row>
    <row r="86" spans="1:22" s="391" customFormat="1" ht="170.25" customHeight="1">
      <c r="A86" s="481"/>
      <c r="B86" s="472"/>
      <c r="C86" s="419"/>
      <c r="D86" s="419"/>
      <c r="E86" s="419"/>
      <c r="F86" s="419"/>
      <c r="G86" s="419"/>
      <c r="H86" s="419"/>
      <c r="I86" s="419"/>
      <c r="J86" s="419"/>
      <c r="K86" s="518"/>
      <c r="L86" s="472" t="s">
        <v>377</v>
      </c>
      <c r="M86" s="482">
        <f>94.12+11.9</f>
        <v>106.02000000000001</v>
      </c>
      <c r="N86" s="733"/>
      <c r="O86" s="421">
        <f>79.7+17+5.9+2.2+20+45.1</f>
        <v>169.9</v>
      </c>
      <c r="P86" s="711"/>
      <c r="Q86" s="723"/>
      <c r="R86" s="725"/>
    </row>
    <row r="87" spans="1:22" s="391" customFormat="1" ht="170.25" customHeight="1">
      <c r="A87" s="427" t="s">
        <v>39</v>
      </c>
      <c r="B87" s="483" t="s">
        <v>74</v>
      </c>
      <c r="C87" s="429">
        <v>25</v>
      </c>
      <c r="D87" s="429"/>
      <c r="E87" s="429"/>
      <c r="F87" s="429">
        <f>E87+D87+C87</f>
        <v>25</v>
      </c>
      <c r="G87" s="429">
        <v>6</v>
      </c>
      <c r="H87" s="429"/>
      <c r="I87" s="429"/>
      <c r="J87" s="429">
        <f>G87+H87+I87</f>
        <v>6</v>
      </c>
      <c r="K87" s="430">
        <f>J87/F87*100</f>
        <v>24</v>
      </c>
      <c r="L87" s="431" t="s">
        <v>367</v>
      </c>
      <c r="M87" s="455">
        <f>4+3+3</f>
        <v>10</v>
      </c>
      <c r="N87" s="390"/>
      <c r="O87" s="469">
        <f>5+1</f>
        <v>6</v>
      </c>
      <c r="P87" s="553"/>
      <c r="Q87" s="556"/>
    </row>
    <row r="88" spans="1:22" s="391" customFormat="1" ht="123.75" customHeight="1">
      <c r="A88" s="484" t="s">
        <v>40</v>
      </c>
      <c r="B88" s="432" t="s">
        <v>75</v>
      </c>
      <c r="C88" s="429">
        <f t="shared" ref="C88:J88" si="3">C89+C90+C91+C92</f>
        <v>109</v>
      </c>
      <c r="D88" s="429">
        <f t="shared" si="3"/>
        <v>0</v>
      </c>
      <c r="E88" s="429">
        <f t="shared" si="3"/>
        <v>0</v>
      </c>
      <c r="F88" s="429">
        <f t="shared" si="3"/>
        <v>109</v>
      </c>
      <c r="G88" s="429">
        <f>G89+G90+G91+G92</f>
        <v>13.1</v>
      </c>
      <c r="H88" s="429">
        <f t="shared" si="3"/>
        <v>0</v>
      </c>
      <c r="I88" s="429">
        <f t="shared" si="3"/>
        <v>0</v>
      </c>
      <c r="J88" s="429">
        <f t="shared" si="3"/>
        <v>13.1</v>
      </c>
      <c r="K88" s="430">
        <f>J88*100/F88</f>
        <v>12.01834862385321</v>
      </c>
      <c r="L88" s="431"/>
      <c r="M88" s="389"/>
      <c r="N88" s="390"/>
      <c r="O88" s="389"/>
      <c r="P88" s="555"/>
      <c r="Q88" s="556"/>
    </row>
    <row r="89" spans="1:22" s="391" customFormat="1" ht="112.5" customHeight="1">
      <c r="A89" s="485" t="s">
        <v>66</v>
      </c>
      <c r="B89" s="486" t="s">
        <v>9</v>
      </c>
      <c r="C89" s="454">
        <v>17</v>
      </c>
      <c r="D89" s="454"/>
      <c r="E89" s="454"/>
      <c r="F89" s="429">
        <f>E89+D89+C89</f>
        <v>17</v>
      </c>
      <c r="G89" s="454">
        <v>1.5</v>
      </c>
      <c r="H89" s="454"/>
      <c r="I89" s="454"/>
      <c r="J89" s="429">
        <f>I89+H89+G89</f>
        <v>1.5</v>
      </c>
      <c r="K89" s="430">
        <f>J89*100/F89</f>
        <v>8.8235294117647065</v>
      </c>
      <c r="L89" s="570" t="s">
        <v>358</v>
      </c>
      <c r="M89" s="520">
        <v>1.8</v>
      </c>
      <c r="N89" s="522">
        <f>M89+M90+M91+M92</f>
        <v>74.100000000000009</v>
      </c>
      <c r="O89" s="520">
        <v>1.5</v>
      </c>
      <c r="P89" s="549">
        <f>O89+O90+O91+O92</f>
        <v>13.1</v>
      </c>
      <c r="Q89" s="555">
        <f>J88-P89</f>
        <v>0</v>
      </c>
    </row>
    <row r="90" spans="1:22" s="391" customFormat="1" ht="61.5" customHeight="1">
      <c r="A90" s="487" t="s">
        <v>67</v>
      </c>
      <c r="B90" s="486" t="s">
        <v>48</v>
      </c>
      <c r="C90" s="454">
        <v>44</v>
      </c>
      <c r="D90" s="454"/>
      <c r="E90" s="454"/>
      <c r="F90" s="429">
        <f>E90+D90+C90</f>
        <v>44</v>
      </c>
      <c r="G90" s="454">
        <v>0.5</v>
      </c>
      <c r="H90" s="454"/>
      <c r="I90" s="454"/>
      <c r="J90" s="429">
        <f>I90+H90+G90</f>
        <v>0.5</v>
      </c>
      <c r="K90" s="430">
        <f>J90*100/F90</f>
        <v>1.1363636363636365</v>
      </c>
      <c r="L90" s="431" t="s">
        <v>357</v>
      </c>
      <c r="M90" s="534">
        <v>49.2</v>
      </c>
      <c r="N90" s="440"/>
      <c r="O90" s="534">
        <v>0.5</v>
      </c>
      <c r="P90" s="550"/>
      <c r="Q90" s="556"/>
    </row>
    <row r="91" spans="1:22" s="391" customFormat="1" ht="107.25" customHeight="1">
      <c r="A91" s="453" t="s">
        <v>68</v>
      </c>
      <c r="B91" s="459" t="s">
        <v>10</v>
      </c>
      <c r="C91" s="454">
        <v>45</v>
      </c>
      <c r="D91" s="454"/>
      <c r="E91" s="454"/>
      <c r="F91" s="429">
        <f>E91+D91+C91</f>
        <v>45</v>
      </c>
      <c r="G91" s="454">
        <v>10</v>
      </c>
      <c r="H91" s="454"/>
      <c r="I91" s="454"/>
      <c r="J91" s="429">
        <f>I91+H91+G91</f>
        <v>10</v>
      </c>
      <c r="K91" s="430">
        <f>J91*100/F91</f>
        <v>22.222222222222221</v>
      </c>
      <c r="L91" s="431" t="s">
        <v>390</v>
      </c>
      <c r="M91" s="421">
        <v>20.399999999999999</v>
      </c>
      <c r="N91" s="523"/>
      <c r="O91" s="534">
        <v>10</v>
      </c>
      <c r="P91" s="550"/>
      <c r="Q91" s="556"/>
    </row>
    <row r="92" spans="1:22" s="391" customFormat="1" ht="108" customHeight="1">
      <c r="A92" s="453" t="s">
        <v>69</v>
      </c>
      <c r="B92" s="459" t="s">
        <v>11</v>
      </c>
      <c r="C92" s="454">
        <v>3</v>
      </c>
      <c r="D92" s="454"/>
      <c r="E92" s="454"/>
      <c r="F92" s="429">
        <f>E92+D92+C92</f>
        <v>3</v>
      </c>
      <c r="G92" s="454">
        <v>1.1000000000000001</v>
      </c>
      <c r="H92" s="454"/>
      <c r="I92" s="454"/>
      <c r="J92" s="429">
        <f>I92+H92+G92</f>
        <v>1.1000000000000001</v>
      </c>
      <c r="K92" s="430">
        <f>J92*100/F92</f>
        <v>36.666666666666671</v>
      </c>
      <c r="L92" s="431" t="s">
        <v>374</v>
      </c>
      <c r="M92" s="389">
        <v>2.7</v>
      </c>
      <c r="N92" s="390"/>
      <c r="O92" s="421">
        <v>1.1000000000000001</v>
      </c>
      <c r="P92" s="553"/>
      <c r="Q92" s="556"/>
    </row>
    <row r="93" spans="1:22" s="391" customFormat="1" ht="230.25" customHeight="1">
      <c r="A93" s="521" t="s">
        <v>41</v>
      </c>
      <c r="B93" s="470" t="s">
        <v>76</v>
      </c>
      <c r="C93" s="514">
        <v>2864.4</v>
      </c>
      <c r="D93" s="514">
        <v>2391.5</v>
      </c>
      <c r="E93" s="514">
        <v>250</v>
      </c>
      <c r="F93" s="514">
        <f>E93+D93+C93</f>
        <v>5505.9</v>
      </c>
      <c r="G93" s="514">
        <v>1011.9</v>
      </c>
      <c r="H93" s="514">
        <v>2.5</v>
      </c>
      <c r="I93" s="514">
        <v>250</v>
      </c>
      <c r="J93" s="514">
        <f>G93+I93+H93</f>
        <v>1264.4000000000001</v>
      </c>
      <c r="K93" s="536">
        <f>J93/F93*100</f>
        <v>22.96445631050328</v>
      </c>
      <c r="L93" s="388" t="s">
        <v>391</v>
      </c>
      <c r="M93" s="520">
        <f>912.45+239.06+39.1+125.99+21.63+22.81+0.05+1.61</f>
        <v>1362.6999999999998</v>
      </c>
      <c r="N93" s="478" t="e">
        <f>M93+M94+#REF!</f>
        <v>#REF!</v>
      </c>
      <c r="O93" s="488">
        <f>596.54+164.56+92.46+55.01+5.31+8.24+0.36+54.47</f>
        <v>976.94999999999993</v>
      </c>
      <c r="P93" s="702">
        <f>O93+O94+O95</f>
        <v>1264.3999999999999</v>
      </c>
      <c r="Q93" s="556"/>
      <c r="R93" s="462"/>
      <c r="S93" s="462"/>
      <c r="T93" s="462"/>
      <c r="U93" s="462"/>
      <c r="V93" s="462"/>
    </row>
    <row r="94" spans="1:22" s="391" customFormat="1" ht="135.75" customHeight="1">
      <c r="A94" s="513"/>
      <c r="B94" s="448"/>
      <c r="C94" s="448"/>
      <c r="D94" s="448"/>
      <c r="E94" s="515"/>
      <c r="F94" s="515"/>
      <c r="G94" s="515"/>
      <c r="H94" s="515"/>
      <c r="I94" s="515"/>
      <c r="J94" s="515"/>
      <c r="K94" s="537"/>
      <c r="L94" s="569" t="s">
        <v>393</v>
      </c>
      <c r="M94" s="421">
        <f>2.8+29.7+29.3</f>
        <v>61.8</v>
      </c>
      <c r="N94" s="447"/>
      <c r="O94" s="482">
        <f>146.55+27.9+83.2</f>
        <v>257.65000000000003</v>
      </c>
      <c r="P94" s="712"/>
      <c r="Q94" s="556"/>
    </row>
    <row r="95" spans="1:22" s="391" customFormat="1" ht="90" customHeight="1">
      <c r="A95" s="513"/>
      <c r="B95" s="544"/>
      <c r="C95" s="443"/>
      <c r="D95" s="443"/>
      <c r="E95" s="419"/>
      <c r="F95" s="419"/>
      <c r="G95" s="515"/>
      <c r="H95" s="515"/>
      <c r="I95" s="515"/>
      <c r="J95" s="515"/>
      <c r="K95" s="537"/>
      <c r="L95" s="569" t="s">
        <v>392</v>
      </c>
      <c r="M95" s="543"/>
      <c r="N95" s="440"/>
      <c r="O95" s="545">
        <v>29.8</v>
      </c>
      <c r="P95" s="555"/>
      <c r="Q95" s="556"/>
    </row>
    <row r="96" spans="1:22" s="391" customFormat="1" ht="94.5" customHeight="1">
      <c r="A96" s="484" t="s">
        <v>42</v>
      </c>
      <c r="B96" s="432" t="s">
        <v>77</v>
      </c>
      <c r="C96" s="514">
        <f t="shared" ref="C96:J96" si="4">C97+C99</f>
        <v>58786.8</v>
      </c>
      <c r="D96" s="514">
        <f t="shared" si="4"/>
        <v>20000</v>
      </c>
      <c r="E96" s="514">
        <f t="shared" si="4"/>
        <v>0</v>
      </c>
      <c r="F96" s="514">
        <f t="shared" si="4"/>
        <v>78786.8</v>
      </c>
      <c r="G96" s="429">
        <f t="shared" si="4"/>
        <v>3449.3</v>
      </c>
      <c r="H96" s="429">
        <f t="shared" si="4"/>
        <v>0</v>
      </c>
      <c r="I96" s="429">
        <f t="shared" si="4"/>
        <v>0</v>
      </c>
      <c r="J96" s="429">
        <f t="shared" si="4"/>
        <v>3449.3</v>
      </c>
      <c r="K96" s="430">
        <f>J96*100/F96</f>
        <v>4.3780176374722668</v>
      </c>
      <c r="L96" s="431"/>
      <c r="M96" s="456"/>
      <c r="N96" s="390"/>
      <c r="O96" s="389"/>
      <c r="P96" s="555"/>
      <c r="Q96" s="556"/>
    </row>
    <row r="97" spans="1:18" s="391" customFormat="1" ht="390.75" customHeight="1">
      <c r="A97" s="489" t="s">
        <v>43</v>
      </c>
      <c r="B97" s="464" t="s">
        <v>12</v>
      </c>
      <c r="C97" s="516">
        <v>57192</v>
      </c>
      <c r="D97" s="516">
        <v>20000</v>
      </c>
      <c r="E97" s="516"/>
      <c r="F97" s="514">
        <f>E97+D97+C97</f>
        <v>77192</v>
      </c>
      <c r="G97" s="516">
        <v>2930.4</v>
      </c>
      <c r="H97" s="516"/>
      <c r="I97" s="516"/>
      <c r="J97" s="514">
        <f>I97+H97+G97</f>
        <v>2930.4</v>
      </c>
      <c r="K97" s="536">
        <f>J97*100/F97</f>
        <v>3.7962483158876568</v>
      </c>
      <c r="L97" s="558" t="s">
        <v>373</v>
      </c>
      <c r="M97" s="520">
        <f>48.83+276.74+58.04+65.92+50.83+116.02</f>
        <v>616.38</v>
      </c>
      <c r="N97" s="708" t="e">
        <f>M97+M98+#REF!+#REF!+#REF!+#REF!+M99</f>
        <v>#REF!</v>
      </c>
      <c r="O97" s="488">
        <f>185.5+1437+227.3+321+299.1+108.2</f>
        <v>2578.1</v>
      </c>
      <c r="P97" s="726">
        <f>O97+O98+O99</f>
        <v>3449.3</v>
      </c>
      <c r="Q97" s="555"/>
    </row>
    <row r="98" spans="1:18" s="391" customFormat="1" ht="27" customHeight="1">
      <c r="A98" s="490"/>
      <c r="B98" s="463"/>
      <c r="C98" s="425"/>
      <c r="D98" s="425"/>
      <c r="E98" s="425"/>
      <c r="F98" s="419"/>
      <c r="G98" s="425"/>
      <c r="H98" s="425"/>
      <c r="I98" s="425"/>
      <c r="J98" s="419"/>
      <c r="K98" s="518"/>
      <c r="L98" s="583" t="s">
        <v>372</v>
      </c>
      <c r="M98" s="534">
        <v>23.4</v>
      </c>
      <c r="N98" s="705"/>
      <c r="O98" s="534">
        <v>352.3</v>
      </c>
      <c r="P98" s="727"/>
      <c r="Q98" s="555"/>
    </row>
    <row r="99" spans="1:18" s="391" customFormat="1" ht="59.25" customHeight="1">
      <c r="A99" s="485" t="s">
        <v>44</v>
      </c>
      <c r="B99" s="486" t="s">
        <v>13</v>
      </c>
      <c r="C99" s="454">
        <v>1594.8</v>
      </c>
      <c r="D99" s="454"/>
      <c r="E99" s="454"/>
      <c r="F99" s="429">
        <f>E99+D99+C99</f>
        <v>1594.8</v>
      </c>
      <c r="G99" s="454">
        <v>518.9</v>
      </c>
      <c r="H99" s="454"/>
      <c r="I99" s="454"/>
      <c r="J99" s="429">
        <f>I99+H99+G99</f>
        <v>518.9</v>
      </c>
      <c r="K99" s="430">
        <f>J99*100/F99</f>
        <v>32.536995234512169</v>
      </c>
      <c r="L99" s="431" t="s">
        <v>356</v>
      </c>
      <c r="M99" s="421">
        <v>611.5</v>
      </c>
      <c r="N99" s="709"/>
      <c r="O99" s="389">
        <v>518.9</v>
      </c>
      <c r="P99" s="555">
        <f>J99-O99</f>
        <v>0</v>
      </c>
      <c r="Q99" s="556"/>
    </row>
    <row r="100" spans="1:18" s="391" customFormat="1" ht="109.5" customHeight="1">
      <c r="A100" s="521" t="s">
        <v>46</v>
      </c>
      <c r="B100" s="728" t="s">
        <v>30</v>
      </c>
      <c r="C100" s="514">
        <v>34427.4</v>
      </c>
      <c r="D100" s="514">
        <v>143546.6</v>
      </c>
      <c r="E100" s="514"/>
      <c r="F100" s="514">
        <f>E100+D100+C100</f>
        <v>177974</v>
      </c>
      <c r="G100" s="514">
        <v>14993.7</v>
      </c>
      <c r="H100" s="514">
        <v>59932.4</v>
      </c>
      <c r="I100" s="514"/>
      <c r="J100" s="514">
        <f>SUM(G100:I100)</f>
        <v>74926.100000000006</v>
      </c>
      <c r="K100" s="536">
        <f>J100*100/F100</f>
        <v>42.099463966646816</v>
      </c>
      <c r="L100" s="388" t="s">
        <v>363</v>
      </c>
      <c r="M100" s="520">
        <f>10429.1+2836.6+17.88+1+111.86+4.1+47.7+70.55+583.06+171.75+89.3+0.8</f>
        <v>14363.699999999999</v>
      </c>
      <c r="N100" s="713" t="e">
        <f>M100+M101+M102+M103+M104+M105+#REF!+#REF!</f>
        <v>#REF!</v>
      </c>
      <c r="O100" s="520">
        <f>7314.3+1736.9+17.5+74.5+25.1+519.9+5.1+68.9+65.3+0.4</f>
        <v>9827.9</v>
      </c>
      <c r="P100" s="706">
        <f>O100+O101+O102+O103+O104+O105</f>
        <v>74926.099999999991</v>
      </c>
      <c r="Q100" s="555">
        <f>J100-P100</f>
        <v>0</v>
      </c>
    </row>
    <row r="101" spans="1:18" s="391" customFormat="1" ht="70.5" customHeight="1">
      <c r="A101" s="416"/>
      <c r="B101" s="729"/>
      <c r="C101" s="419"/>
      <c r="D101" s="419"/>
      <c r="E101" s="419"/>
      <c r="F101" s="419"/>
      <c r="G101" s="419"/>
      <c r="H101" s="419"/>
      <c r="I101" s="419"/>
      <c r="J101" s="419"/>
      <c r="K101" s="518"/>
      <c r="L101" s="420" t="s">
        <v>362</v>
      </c>
      <c r="M101" s="534">
        <v>95040.2</v>
      </c>
      <c r="N101" s="714"/>
      <c r="O101" s="534">
        <v>59127</v>
      </c>
      <c r="P101" s="707"/>
      <c r="Q101" s="556"/>
    </row>
    <row r="102" spans="1:18" s="391" customFormat="1" ht="105.75" customHeight="1">
      <c r="A102" s="416"/>
      <c r="B102" s="426"/>
      <c r="C102" s="419"/>
      <c r="D102" s="419"/>
      <c r="E102" s="419"/>
      <c r="F102" s="419"/>
      <c r="G102" s="419"/>
      <c r="H102" s="419"/>
      <c r="I102" s="419"/>
      <c r="J102" s="419"/>
      <c r="K102" s="518"/>
      <c r="L102" s="420" t="s">
        <v>364</v>
      </c>
      <c r="M102" s="534">
        <f>5375+41.08+181.2+1526.71+69.2+19.97+130.15+25.16+22.75+41.65+5.29+0.44</f>
        <v>7438.5999999999985</v>
      </c>
      <c r="N102" s="714"/>
      <c r="O102" s="534">
        <f>4108.2+7.8+928.8+32.2+15.6+38.4+8.8+24.3+1.5+0.2</f>
        <v>5165.8</v>
      </c>
      <c r="P102" s="707"/>
      <c r="Q102" s="556"/>
    </row>
    <row r="103" spans="1:18" s="391" customFormat="1" ht="72.75" customHeight="1">
      <c r="A103" s="416"/>
      <c r="B103" s="426"/>
      <c r="C103" s="419"/>
      <c r="D103" s="419"/>
      <c r="E103" s="419"/>
      <c r="F103" s="419"/>
      <c r="G103" s="419"/>
      <c r="H103" s="419"/>
      <c r="I103" s="419"/>
      <c r="J103" s="419"/>
      <c r="K103" s="518"/>
      <c r="L103" s="420" t="s">
        <v>366</v>
      </c>
      <c r="M103" s="534">
        <v>512.79999999999995</v>
      </c>
      <c r="N103" s="714"/>
      <c r="O103" s="534">
        <v>394.2</v>
      </c>
      <c r="P103" s="707"/>
      <c r="Q103" s="556"/>
    </row>
    <row r="104" spans="1:18" s="391" customFormat="1" ht="48.75" customHeight="1">
      <c r="A104" s="416"/>
      <c r="B104" s="426"/>
      <c r="C104" s="419"/>
      <c r="D104" s="419"/>
      <c r="E104" s="419"/>
      <c r="F104" s="419"/>
      <c r="G104" s="419"/>
      <c r="H104" s="419"/>
      <c r="I104" s="419"/>
      <c r="J104" s="419"/>
      <c r="K104" s="518"/>
      <c r="L104" s="420" t="s">
        <v>365</v>
      </c>
      <c r="M104" s="534">
        <v>563.20000000000005</v>
      </c>
      <c r="N104" s="444"/>
      <c r="O104" s="534">
        <v>396.2</v>
      </c>
      <c r="P104" s="707"/>
      <c r="Q104" s="556"/>
    </row>
    <row r="105" spans="1:18" s="391" customFormat="1" ht="49.5" customHeight="1">
      <c r="A105" s="416"/>
      <c r="B105" s="426"/>
      <c r="C105" s="419"/>
      <c r="D105" s="419"/>
      <c r="E105" s="419"/>
      <c r="F105" s="419"/>
      <c r="G105" s="419"/>
      <c r="H105" s="419"/>
      <c r="I105" s="419"/>
      <c r="J105" s="419"/>
      <c r="K105" s="518"/>
      <c r="L105" s="420" t="s">
        <v>98</v>
      </c>
      <c r="M105" s="534">
        <v>15</v>
      </c>
      <c r="N105" s="444"/>
      <c r="O105" s="421">
        <v>15</v>
      </c>
      <c r="P105" s="730"/>
      <c r="Q105" s="556"/>
    </row>
    <row r="106" spans="1:18" s="391" customFormat="1" ht="49.5" hidden="1" customHeight="1">
      <c r="A106" s="541"/>
      <c r="B106" s="542"/>
      <c r="C106" s="419"/>
      <c r="D106" s="419"/>
      <c r="E106" s="419"/>
      <c r="F106" s="419"/>
      <c r="G106" s="419"/>
      <c r="H106" s="419"/>
      <c r="I106" s="419"/>
      <c r="J106" s="419"/>
      <c r="K106" s="518"/>
      <c r="L106" s="420"/>
      <c r="M106" s="543"/>
      <c r="N106" s="440"/>
      <c r="O106" s="543"/>
      <c r="P106" s="401"/>
      <c r="Q106" s="556"/>
    </row>
    <row r="107" spans="1:18" s="391" customFormat="1" ht="108.75" customHeight="1">
      <c r="A107" s="491" t="s">
        <v>47</v>
      </c>
      <c r="B107" s="432" t="s">
        <v>78</v>
      </c>
      <c r="C107" s="429">
        <v>390</v>
      </c>
      <c r="D107" s="429">
        <v>608.6</v>
      </c>
      <c r="E107" s="429">
        <v>3275.1</v>
      </c>
      <c r="F107" s="429">
        <f>C107+D107+E107</f>
        <v>4273.7</v>
      </c>
      <c r="G107" s="429">
        <v>156.4</v>
      </c>
      <c r="H107" s="429">
        <v>244.2</v>
      </c>
      <c r="I107" s="429">
        <v>1314</v>
      </c>
      <c r="J107" s="429">
        <f>I107+H107+G107</f>
        <v>1714.6000000000001</v>
      </c>
      <c r="K107" s="430">
        <f>J107*100/F107</f>
        <v>40.119802513044903</v>
      </c>
      <c r="L107" s="431" t="s">
        <v>360</v>
      </c>
      <c r="M107" s="389">
        <v>2741.2</v>
      </c>
      <c r="N107" s="390"/>
      <c r="O107" s="389">
        <v>1714.6</v>
      </c>
      <c r="P107" s="555"/>
      <c r="Q107" s="556"/>
    </row>
    <row r="108" spans="1:18" s="391" customFormat="1" ht="210" customHeight="1">
      <c r="A108" s="736" t="s">
        <v>49</v>
      </c>
      <c r="B108" s="738" t="s">
        <v>87</v>
      </c>
      <c r="C108" s="514">
        <v>3058.1</v>
      </c>
      <c r="D108" s="514">
        <v>660</v>
      </c>
      <c r="E108" s="514"/>
      <c r="F108" s="514">
        <f>E108+D108+C108</f>
        <v>3718.1</v>
      </c>
      <c r="G108" s="749">
        <v>427.8</v>
      </c>
      <c r="H108" s="749">
        <v>313.3</v>
      </c>
      <c r="I108" s="751"/>
      <c r="J108" s="749">
        <f>I108+H108+G108</f>
        <v>741.1</v>
      </c>
      <c r="K108" s="747">
        <f>J108*100/F108</f>
        <v>19.932223447459723</v>
      </c>
      <c r="L108" s="558" t="s">
        <v>389</v>
      </c>
      <c r="M108" s="520">
        <f>152.6+73.5+1208.5+2.5+37.2+7.5+71.3+3.9+205.2+0.1</f>
        <v>1762.3</v>
      </c>
      <c r="N108" s="713">
        <f>M108+M109</f>
        <v>2234.1999999999998</v>
      </c>
      <c r="O108" s="520">
        <f>138.9+97.15+53.93+88.27+11.05+2.5+27.2+8.8</f>
        <v>427.8</v>
      </c>
      <c r="P108" s="702">
        <f>O108+O109</f>
        <v>741.1</v>
      </c>
      <c r="Q108" s="740">
        <f>J108-P108</f>
        <v>0</v>
      </c>
    </row>
    <row r="109" spans="1:18" s="391" customFormat="1" ht="42" customHeight="1">
      <c r="A109" s="737"/>
      <c r="B109" s="739"/>
      <c r="C109" s="515"/>
      <c r="D109" s="515"/>
      <c r="E109" s="515"/>
      <c r="F109" s="515"/>
      <c r="G109" s="750"/>
      <c r="H109" s="750"/>
      <c r="I109" s="752"/>
      <c r="J109" s="750"/>
      <c r="K109" s="748"/>
      <c r="L109" s="589" t="s">
        <v>371</v>
      </c>
      <c r="M109" s="421">
        <v>471.9</v>
      </c>
      <c r="N109" s="715"/>
      <c r="O109" s="421">
        <v>313.3</v>
      </c>
      <c r="P109" s="712"/>
      <c r="Q109" s="740"/>
    </row>
    <row r="110" spans="1:18" s="391" customFormat="1" ht="142.5" customHeight="1">
      <c r="A110" s="484" t="s">
        <v>50</v>
      </c>
      <c r="B110" s="432" t="s">
        <v>79</v>
      </c>
      <c r="C110" s="429">
        <f t="shared" ref="C110:J110" si="5">C111+C112+C113</f>
        <v>29839.199999999997</v>
      </c>
      <c r="D110" s="429">
        <f t="shared" si="5"/>
        <v>36456.300000000003</v>
      </c>
      <c r="E110" s="429">
        <f t="shared" si="5"/>
        <v>0</v>
      </c>
      <c r="F110" s="429">
        <f t="shared" si="5"/>
        <v>66295.5</v>
      </c>
      <c r="G110" s="429">
        <f t="shared" si="5"/>
        <v>8625.7000000000007</v>
      </c>
      <c r="H110" s="429">
        <f t="shared" si="5"/>
        <v>0</v>
      </c>
      <c r="I110" s="429">
        <f t="shared" si="5"/>
        <v>0</v>
      </c>
      <c r="J110" s="429">
        <f t="shared" si="5"/>
        <v>8625.7000000000007</v>
      </c>
      <c r="K110" s="430">
        <f t="shared" ref="K110:K114" si="6">J110*100/F110</f>
        <v>13.010988679472968</v>
      </c>
      <c r="L110" s="590"/>
      <c r="M110" s="520"/>
      <c r="N110" s="492" t="e">
        <f>M111+#REF!+M113</f>
        <v>#REF!</v>
      </c>
      <c r="O110" s="389"/>
      <c r="P110" s="555"/>
      <c r="Q110" s="556"/>
    </row>
    <row r="111" spans="1:18" s="391" customFormat="1" ht="126.75" customHeight="1">
      <c r="A111" s="489" t="s">
        <v>51</v>
      </c>
      <c r="B111" s="562" t="s">
        <v>14</v>
      </c>
      <c r="C111" s="516">
        <v>12032.9</v>
      </c>
      <c r="D111" s="516">
        <v>36456.300000000003</v>
      </c>
      <c r="E111" s="516"/>
      <c r="F111" s="514">
        <f>E111+D111+C111</f>
        <v>48489.200000000004</v>
      </c>
      <c r="G111" s="516">
        <v>219.5</v>
      </c>
      <c r="H111" s="516">
        <v>0</v>
      </c>
      <c r="I111" s="516">
        <v>0</v>
      </c>
      <c r="J111" s="514">
        <f>I111+H111+G111</f>
        <v>219.5</v>
      </c>
      <c r="K111" s="536">
        <f t="shared" si="6"/>
        <v>0.45267812213853803</v>
      </c>
      <c r="L111" s="388" t="s">
        <v>369</v>
      </c>
      <c r="M111" s="442">
        <f>38.1+140+20</f>
        <v>198.1</v>
      </c>
      <c r="N111" s="444"/>
      <c r="O111" s="520">
        <v>219.5</v>
      </c>
      <c r="P111" s="549">
        <f>O111+O113</f>
        <v>8625.6999999999989</v>
      </c>
      <c r="Q111" s="555">
        <f>J110-P111</f>
        <v>0</v>
      </c>
      <c r="R111" s="493"/>
    </row>
    <row r="112" spans="1:18" s="391" customFormat="1" ht="39" hidden="1">
      <c r="A112" s="485" t="s">
        <v>52</v>
      </c>
      <c r="B112" s="459" t="s">
        <v>15</v>
      </c>
      <c r="C112" s="454">
        <v>0</v>
      </c>
      <c r="D112" s="454"/>
      <c r="E112" s="454"/>
      <c r="F112" s="429">
        <f>C112+D112+E112</f>
        <v>0</v>
      </c>
      <c r="G112" s="454"/>
      <c r="H112" s="454"/>
      <c r="I112" s="454"/>
      <c r="J112" s="429">
        <f>I112+H112+G112</f>
        <v>0</v>
      </c>
      <c r="K112" s="430">
        <v>0</v>
      </c>
      <c r="L112" s="539"/>
      <c r="M112" s="534"/>
      <c r="N112" s="444"/>
      <c r="O112" s="534"/>
      <c r="P112" s="550"/>
      <c r="Q112" s="556"/>
    </row>
    <row r="113" spans="1:26" ht="153" customHeight="1">
      <c r="A113" s="487" t="s">
        <v>52</v>
      </c>
      <c r="B113" s="459" t="s">
        <v>5</v>
      </c>
      <c r="C113" s="454">
        <v>17806.3</v>
      </c>
      <c r="D113" s="454"/>
      <c r="E113" s="454"/>
      <c r="F113" s="429">
        <f>E113+D113+C113</f>
        <v>17806.3</v>
      </c>
      <c r="G113" s="454">
        <v>8406.2000000000007</v>
      </c>
      <c r="H113" s="454"/>
      <c r="I113" s="454"/>
      <c r="J113" s="429">
        <f>I113+H113+G113</f>
        <v>8406.2000000000007</v>
      </c>
      <c r="K113" s="430">
        <f t="shared" si="6"/>
        <v>47.209133845886015</v>
      </c>
      <c r="L113" s="591" t="s">
        <v>370</v>
      </c>
      <c r="M113" s="421">
        <f>8128.45+41.23+2+2331.96+81.6+206.1+77.1+417.1+153.1+243.1+88.56+2.3+3.1</f>
        <v>11775.7</v>
      </c>
      <c r="N113" s="447"/>
      <c r="O113" s="421">
        <f>6130.7+17.6+0.4+1462.9+57.3+183+41.5+390.3+52+67.5+1.8+0.4+0.8</f>
        <v>8406.1999999999989</v>
      </c>
      <c r="P113" s="553"/>
    </row>
    <row r="114" spans="1:26" ht="91.5" customHeight="1">
      <c r="A114" s="427" t="s">
        <v>53</v>
      </c>
      <c r="B114" s="428" t="s">
        <v>80</v>
      </c>
      <c r="C114" s="429">
        <v>50</v>
      </c>
      <c r="D114" s="429"/>
      <c r="E114" s="429"/>
      <c r="F114" s="429">
        <f>E114+D114+C114</f>
        <v>50</v>
      </c>
      <c r="G114" s="429">
        <v>0</v>
      </c>
      <c r="H114" s="429"/>
      <c r="I114" s="429"/>
      <c r="J114" s="429">
        <f>SUM(G114:I114)</f>
        <v>0</v>
      </c>
      <c r="K114" s="430">
        <f t="shared" si="6"/>
        <v>0</v>
      </c>
      <c r="L114" s="591" t="s">
        <v>359</v>
      </c>
    </row>
    <row r="115" spans="1:26" s="457" customFormat="1" ht="40.5" customHeight="1">
      <c r="A115" s="741" t="s">
        <v>54</v>
      </c>
      <c r="B115" s="742"/>
      <c r="C115" s="592">
        <f t="shared" ref="C115:J115" si="7">C96+C110+C108+C82+C107+C87+C88+C41+C71+C93+C61+C42+C15+C100+C114+C14+C7</f>
        <v>859357.20000000007</v>
      </c>
      <c r="D115" s="592">
        <f t="shared" si="7"/>
        <v>1157266</v>
      </c>
      <c r="E115" s="592">
        <f t="shared" si="7"/>
        <v>148322.69999999998</v>
      </c>
      <c r="F115" s="592">
        <f t="shared" si="7"/>
        <v>2164945.9</v>
      </c>
      <c r="G115" s="592">
        <f t="shared" si="7"/>
        <v>342854.2</v>
      </c>
      <c r="H115" s="592">
        <f>H96+H110+H108+H82+H107+H87+H88+H41+H71+H93+H61+H42+H15+H100+H114+H14+H7</f>
        <v>483848.60000000003</v>
      </c>
      <c r="I115" s="592">
        <f t="shared" si="7"/>
        <v>75241.099999999991</v>
      </c>
      <c r="J115" s="592">
        <f t="shared" si="7"/>
        <v>901943.89999999991</v>
      </c>
      <c r="K115" s="593">
        <f>J115/F115*100</f>
        <v>41.66126737855204</v>
      </c>
      <c r="L115" s="594"/>
      <c r="M115" s="389"/>
      <c r="N115" s="390"/>
      <c r="O115" s="389"/>
      <c r="P115" s="555"/>
      <c r="Q115" s="556"/>
      <c r="R115" s="494"/>
      <c r="S115" s="494"/>
      <c r="T115" s="494"/>
      <c r="U115" s="494"/>
      <c r="V115" s="494"/>
      <c r="W115" s="494"/>
      <c r="X115" s="494"/>
      <c r="Y115" s="494"/>
      <c r="Z115" s="494"/>
    </row>
    <row r="116" spans="1:26" ht="27.75" customHeight="1">
      <c r="A116" s="495"/>
      <c r="B116" s="496"/>
      <c r="C116" s="540"/>
      <c r="D116" s="540"/>
      <c r="E116" s="540"/>
      <c r="F116" s="540"/>
      <c r="G116" s="540"/>
      <c r="H116" s="540"/>
      <c r="I116" s="540"/>
      <c r="J116" s="540"/>
      <c r="K116" s="499"/>
      <c r="L116" s="495"/>
    </row>
    <row r="117" spans="1:26" ht="27.75" customHeight="1">
      <c r="A117" s="495"/>
      <c r="B117" s="496"/>
      <c r="C117" s="540"/>
      <c r="D117" s="540"/>
      <c r="E117" s="540"/>
      <c r="F117" s="540"/>
      <c r="G117" s="540"/>
      <c r="H117" s="540"/>
      <c r="I117" s="540"/>
      <c r="J117" s="540"/>
      <c r="K117" s="499"/>
      <c r="L117" s="495"/>
    </row>
    <row r="118" spans="1:26" ht="82.5" customHeight="1">
      <c r="A118" s="560" t="s">
        <v>214</v>
      </c>
      <c r="B118" s="560"/>
      <c r="C118" s="497"/>
      <c r="D118" s="497"/>
      <c r="E118" s="497"/>
      <c r="F118" s="497"/>
      <c r="G118" s="497"/>
      <c r="H118" s="497"/>
      <c r="I118" s="497"/>
      <c r="J118" s="497"/>
      <c r="K118" s="498"/>
      <c r="L118" s="495"/>
    </row>
    <row r="119" spans="1:26">
      <c r="A119" s="500" t="s">
        <v>55</v>
      </c>
      <c r="B119" s="500"/>
      <c r="C119" s="501"/>
      <c r="D119" s="497"/>
      <c r="E119" s="497"/>
      <c r="F119" s="497"/>
      <c r="G119" s="497"/>
      <c r="H119" s="497"/>
      <c r="I119" s="497"/>
      <c r="J119" s="497"/>
      <c r="K119" s="498"/>
      <c r="L119" s="495"/>
    </row>
    <row r="120" spans="1:26">
      <c r="A120" s="502" t="s">
        <v>152</v>
      </c>
      <c r="B120" s="502"/>
      <c r="C120" s="503"/>
      <c r="D120" s="504"/>
      <c r="E120" s="505"/>
      <c r="L120" s="507" t="s">
        <v>56</v>
      </c>
    </row>
    <row r="121" spans="1:26" ht="20.25">
      <c r="B121" s="508"/>
      <c r="D121" s="505"/>
      <c r="E121" s="505"/>
    </row>
    <row r="122" spans="1:26" ht="48.75" customHeight="1">
      <c r="D122" s="505"/>
      <c r="E122" s="505"/>
      <c r="L122" s="405"/>
    </row>
    <row r="123" spans="1:26">
      <c r="A123" s="392" t="s">
        <v>57</v>
      </c>
      <c r="D123" s="505"/>
      <c r="E123" s="505"/>
      <c r="L123" s="509"/>
    </row>
    <row r="124" spans="1:26">
      <c r="A124" s="392" t="s">
        <v>70</v>
      </c>
      <c r="D124" s="505"/>
      <c r="E124" s="505"/>
      <c r="L124" s="509"/>
    </row>
    <row r="125" spans="1:26" s="389" customFormat="1">
      <c r="A125" s="392" t="s">
        <v>71</v>
      </c>
      <c r="B125" s="392"/>
      <c r="C125" s="395"/>
      <c r="D125" s="505"/>
      <c r="E125" s="505"/>
      <c r="F125" s="396"/>
      <c r="G125" s="395"/>
      <c r="H125" s="395"/>
      <c r="I125" s="395"/>
      <c r="J125" s="396"/>
      <c r="K125" s="506"/>
      <c r="L125" s="509"/>
      <c r="N125" s="390"/>
      <c r="P125" s="555"/>
      <c r="Q125" s="556"/>
      <c r="R125" s="391"/>
      <c r="S125" s="391"/>
      <c r="T125" s="391"/>
      <c r="U125" s="391"/>
      <c r="V125" s="391"/>
      <c r="W125" s="391"/>
      <c r="X125" s="391"/>
      <c r="Y125" s="391"/>
      <c r="Z125" s="391"/>
    </row>
    <row r="126" spans="1:26" s="389" customFormat="1" ht="24.75" customHeight="1">
      <c r="A126" s="735" t="s">
        <v>110</v>
      </c>
      <c r="B126" s="735"/>
      <c r="C126" s="395"/>
      <c r="D126" s="505"/>
      <c r="E126" s="505"/>
      <c r="F126" s="396"/>
      <c r="G126" s="395"/>
      <c r="H126" s="395"/>
      <c r="I126" s="395"/>
      <c r="J126" s="396"/>
      <c r="K126" s="506"/>
      <c r="L126" s="510"/>
      <c r="N126" s="390"/>
      <c r="P126" s="555"/>
      <c r="Q126" s="556"/>
      <c r="R126" s="391"/>
      <c r="S126" s="391"/>
      <c r="T126" s="391"/>
      <c r="U126" s="391"/>
      <c r="V126" s="391"/>
      <c r="W126" s="391"/>
      <c r="X126" s="391"/>
      <c r="Y126" s="391"/>
      <c r="Z126" s="391"/>
    </row>
    <row r="127" spans="1:26" s="389" customFormat="1">
      <c r="A127" s="392"/>
      <c r="B127" s="392"/>
      <c r="C127" s="395"/>
      <c r="D127" s="505"/>
      <c r="E127" s="505"/>
      <c r="F127" s="396"/>
      <c r="G127" s="395"/>
      <c r="H127" s="395"/>
      <c r="I127" s="395"/>
      <c r="J127" s="396"/>
      <c r="K127" s="506"/>
      <c r="L127" s="392"/>
      <c r="N127" s="390"/>
      <c r="P127" s="555"/>
      <c r="Q127" s="556"/>
      <c r="R127" s="391"/>
      <c r="S127" s="391"/>
      <c r="T127" s="391"/>
      <c r="U127" s="391"/>
      <c r="V127" s="391"/>
      <c r="W127" s="391"/>
      <c r="X127" s="391"/>
      <c r="Y127" s="391"/>
      <c r="Z127" s="391"/>
    </row>
    <row r="128" spans="1:26" s="389" customFormat="1">
      <c r="A128" s="392"/>
      <c r="B128" s="392"/>
      <c r="C128" s="395"/>
      <c r="D128" s="505"/>
      <c r="E128" s="505"/>
      <c r="F128" s="396"/>
      <c r="G128" s="395"/>
      <c r="H128" s="395"/>
      <c r="I128" s="395"/>
      <c r="J128" s="396"/>
      <c r="K128" s="506"/>
      <c r="L128" s="392"/>
      <c r="N128" s="390"/>
      <c r="P128" s="555"/>
      <c r="Q128" s="556"/>
      <c r="R128" s="391"/>
      <c r="S128" s="391"/>
      <c r="T128" s="391"/>
      <c r="U128" s="391"/>
      <c r="V128" s="391"/>
      <c r="W128" s="391"/>
      <c r="X128" s="391"/>
      <c r="Y128" s="391"/>
      <c r="Z128" s="391"/>
    </row>
    <row r="129" spans="1:26" s="389" customFormat="1">
      <c r="A129" s="392"/>
      <c r="B129" s="392"/>
      <c r="C129" s="395"/>
      <c r="D129" s="505"/>
      <c r="E129" s="505"/>
      <c r="F129" s="396"/>
      <c r="G129" s="395"/>
      <c r="H129" s="395"/>
      <c r="I129" s="395"/>
      <c r="J129" s="396"/>
      <c r="K129" s="506"/>
      <c r="L129" s="509"/>
      <c r="N129" s="390"/>
      <c r="P129" s="555"/>
      <c r="Q129" s="556"/>
      <c r="R129" s="391"/>
      <c r="S129" s="391"/>
      <c r="T129" s="391"/>
      <c r="U129" s="391"/>
      <c r="V129" s="391"/>
      <c r="W129" s="391"/>
      <c r="X129" s="391"/>
      <c r="Y129" s="391"/>
      <c r="Z129" s="391"/>
    </row>
    <row r="130" spans="1:26" s="389" customFormat="1">
      <c r="A130" s="392"/>
      <c r="B130" s="392"/>
      <c r="C130" s="395"/>
      <c r="D130" s="505"/>
      <c r="E130" s="505"/>
      <c r="F130" s="396"/>
      <c r="G130" s="395"/>
      <c r="H130" s="395"/>
      <c r="I130" s="395"/>
      <c r="J130" s="396"/>
      <c r="K130" s="506"/>
      <c r="L130" s="509"/>
      <c r="N130" s="390"/>
      <c r="P130" s="555"/>
      <c r="Q130" s="556"/>
      <c r="R130" s="391"/>
      <c r="S130" s="391"/>
      <c r="T130" s="391"/>
      <c r="U130" s="391"/>
      <c r="V130" s="391"/>
      <c r="W130" s="391"/>
      <c r="X130" s="391"/>
      <c r="Y130" s="391"/>
      <c r="Z130" s="391"/>
    </row>
    <row r="131" spans="1:26" s="389" customFormat="1">
      <c r="A131" s="392"/>
      <c r="B131" s="392"/>
      <c r="C131" s="395"/>
      <c r="D131" s="505"/>
      <c r="E131" s="505"/>
      <c r="F131" s="396"/>
      <c r="G131" s="395"/>
      <c r="H131" s="395"/>
      <c r="I131" s="395"/>
      <c r="J131" s="396"/>
      <c r="K131" s="506"/>
      <c r="L131" s="392"/>
      <c r="N131" s="390"/>
      <c r="P131" s="555"/>
      <c r="Q131" s="556"/>
      <c r="R131" s="391"/>
      <c r="S131" s="391"/>
      <c r="T131" s="391"/>
      <c r="U131" s="391"/>
      <c r="V131" s="391"/>
      <c r="W131" s="391"/>
      <c r="X131" s="391"/>
      <c r="Y131" s="391"/>
      <c r="Z131" s="391"/>
    </row>
    <row r="132" spans="1:26" s="389" customFormat="1">
      <c r="A132" s="392"/>
      <c r="B132" s="392"/>
      <c r="C132" s="395"/>
      <c r="D132" s="505"/>
      <c r="E132" s="505"/>
      <c r="F132" s="396"/>
      <c r="G132" s="395"/>
      <c r="H132" s="395"/>
      <c r="I132" s="395"/>
      <c r="J132" s="396"/>
      <c r="K132" s="506"/>
      <c r="L132" s="392"/>
      <c r="N132" s="390"/>
      <c r="P132" s="555"/>
      <c r="Q132" s="556"/>
      <c r="R132" s="391"/>
      <c r="S132" s="391"/>
      <c r="T132" s="391"/>
      <c r="U132" s="391"/>
      <c r="V132" s="391"/>
      <c r="W132" s="391"/>
      <c r="X132" s="391"/>
      <c r="Y132" s="391"/>
      <c r="Z132" s="391"/>
    </row>
    <row r="133" spans="1:26" s="389" customFormat="1">
      <c r="A133" s="392"/>
      <c r="B133" s="392"/>
      <c r="C133" s="395"/>
      <c r="D133" s="505"/>
      <c r="E133" s="505"/>
      <c r="F133" s="396"/>
      <c r="G133" s="395"/>
      <c r="H133" s="395"/>
      <c r="I133" s="395"/>
      <c r="J133" s="396"/>
      <c r="K133" s="506"/>
      <c r="L133" s="392"/>
      <c r="N133" s="390"/>
      <c r="P133" s="555"/>
      <c r="Q133" s="556"/>
      <c r="R133" s="391"/>
      <c r="S133" s="391"/>
      <c r="T133" s="391"/>
      <c r="U133" s="391"/>
      <c r="V133" s="391"/>
      <c r="W133" s="391"/>
      <c r="X133" s="391"/>
      <c r="Y133" s="391"/>
      <c r="Z133" s="391"/>
    </row>
    <row r="134" spans="1:26" s="389" customFormat="1">
      <c r="A134" s="392"/>
      <c r="B134" s="392"/>
      <c r="C134" s="395"/>
      <c r="D134" s="505"/>
      <c r="E134" s="505"/>
      <c r="F134" s="396"/>
      <c r="G134" s="395"/>
      <c r="H134" s="395"/>
      <c r="I134" s="395"/>
      <c r="J134" s="396"/>
      <c r="K134" s="506"/>
      <c r="L134" s="392"/>
      <c r="N134" s="390"/>
      <c r="P134" s="555"/>
      <c r="Q134" s="556"/>
      <c r="R134" s="391"/>
      <c r="S134" s="391"/>
      <c r="T134" s="391"/>
      <c r="U134" s="391"/>
      <c r="V134" s="391"/>
      <c r="W134" s="391"/>
      <c r="X134" s="391"/>
      <c r="Y134" s="391"/>
      <c r="Z134" s="391"/>
    </row>
    <row r="135" spans="1:26" s="389" customFormat="1">
      <c r="A135" s="392"/>
      <c r="B135" s="392"/>
      <c r="C135" s="395"/>
      <c r="D135" s="505"/>
      <c r="E135" s="505"/>
      <c r="F135" s="396"/>
      <c r="G135" s="395"/>
      <c r="H135" s="395"/>
      <c r="I135" s="395"/>
      <c r="J135" s="396"/>
      <c r="K135" s="506"/>
      <c r="L135" s="392"/>
      <c r="N135" s="390"/>
      <c r="P135" s="555"/>
      <c r="Q135" s="556"/>
      <c r="R135" s="391"/>
      <c r="S135" s="391"/>
      <c r="T135" s="391"/>
      <c r="U135" s="391"/>
      <c r="V135" s="391"/>
      <c r="W135" s="391"/>
      <c r="X135" s="391"/>
      <c r="Y135" s="391"/>
      <c r="Z135" s="391"/>
    </row>
    <row r="136" spans="1:26" s="389" customFormat="1">
      <c r="A136" s="392"/>
      <c r="B136" s="392"/>
      <c r="C136" s="395"/>
      <c r="D136" s="505"/>
      <c r="E136" s="395"/>
      <c r="F136" s="396"/>
      <c r="G136" s="395"/>
      <c r="H136" s="395"/>
      <c r="I136" s="395"/>
      <c r="J136" s="396"/>
      <c r="K136" s="506"/>
      <c r="L136" s="392"/>
      <c r="N136" s="390"/>
      <c r="P136" s="555"/>
      <c r="Q136" s="556"/>
      <c r="R136" s="391"/>
      <c r="S136" s="391"/>
      <c r="T136" s="391"/>
      <c r="U136" s="391"/>
      <c r="V136" s="391"/>
      <c r="W136" s="391"/>
      <c r="X136" s="391"/>
      <c r="Y136" s="391"/>
      <c r="Z136" s="391"/>
    </row>
    <row r="137" spans="1:26" s="389" customFormat="1">
      <c r="A137" s="392"/>
      <c r="B137" s="392"/>
      <c r="C137" s="395"/>
      <c r="D137" s="505"/>
      <c r="E137" s="395"/>
      <c r="F137" s="396"/>
      <c r="G137" s="395"/>
      <c r="H137" s="395"/>
      <c r="I137" s="395"/>
      <c r="J137" s="396"/>
      <c r="K137" s="506"/>
      <c r="L137" s="392"/>
      <c r="N137" s="390"/>
      <c r="P137" s="555"/>
      <c r="Q137" s="556"/>
      <c r="R137" s="391"/>
      <c r="S137" s="391"/>
      <c r="T137" s="391"/>
      <c r="U137" s="391"/>
      <c r="V137" s="391"/>
      <c r="W137" s="391"/>
      <c r="X137" s="391"/>
      <c r="Y137" s="391"/>
      <c r="Z137" s="391"/>
    </row>
  </sheetData>
  <sheetProtection formatCells="0" formatColumns="0" formatRows="0" insertColumns="0" insertRows="0" insertHyperlinks="0" deleteColumns="0" deleteRows="0" sort="0" autoFilter="0" pivotTables="0"/>
  <mergeCells count="66">
    <mergeCell ref="A1:L1"/>
    <mergeCell ref="A2:L2"/>
    <mergeCell ref="A4:A5"/>
    <mergeCell ref="B4:B5"/>
    <mergeCell ref="C4:F4"/>
    <mergeCell ref="G4:J4"/>
    <mergeCell ref="K4:K5"/>
    <mergeCell ref="L4:L5"/>
    <mergeCell ref="F43:F44"/>
    <mergeCell ref="N7:N13"/>
    <mergeCell ref="P7:P8"/>
    <mergeCell ref="P10:P12"/>
    <mergeCell ref="N16:N33"/>
    <mergeCell ref="N35:N38"/>
    <mergeCell ref="P35:P38"/>
    <mergeCell ref="A43:A44"/>
    <mergeCell ref="B43:B44"/>
    <mergeCell ref="C43:C44"/>
    <mergeCell ref="D43:D44"/>
    <mergeCell ref="E43:E44"/>
    <mergeCell ref="N59:N60"/>
    <mergeCell ref="P59:P60"/>
    <mergeCell ref="Q59:Q60"/>
    <mergeCell ref="G43:G44"/>
    <mergeCell ref="H43:H44"/>
    <mergeCell ref="I43:I44"/>
    <mergeCell ref="J43:J44"/>
    <mergeCell ref="K43:K44"/>
    <mergeCell ref="N43:N44"/>
    <mergeCell ref="N45:N50"/>
    <mergeCell ref="N53:N56"/>
    <mergeCell ref="N57:N58"/>
    <mergeCell ref="P57:P58"/>
    <mergeCell ref="Q57:Q58"/>
    <mergeCell ref="R82:R86"/>
    <mergeCell ref="N61:N69"/>
    <mergeCell ref="P61:P69"/>
    <mergeCell ref="N72:N73"/>
    <mergeCell ref="P72:P73"/>
    <mergeCell ref="Q72:Q73"/>
    <mergeCell ref="N74:N76"/>
    <mergeCell ref="P74:P76"/>
    <mergeCell ref="Q74:Q76"/>
    <mergeCell ref="P77:P81"/>
    <mergeCell ref="Q77:Q81"/>
    <mergeCell ref="N82:N86"/>
    <mergeCell ref="P82:P86"/>
    <mergeCell ref="Q82:Q86"/>
    <mergeCell ref="P93:P94"/>
    <mergeCell ref="N97:N99"/>
    <mergeCell ref="P97:P98"/>
    <mergeCell ref="B100:B101"/>
    <mergeCell ref="N100:N103"/>
    <mergeCell ref="P100:P105"/>
    <mergeCell ref="A126:B126"/>
    <mergeCell ref="A108:A109"/>
    <mergeCell ref="B108:B109"/>
    <mergeCell ref="G108:G109"/>
    <mergeCell ref="H108:H109"/>
    <mergeCell ref="K108:K109"/>
    <mergeCell ref="N108:N109"/>
    <mergeCell ref="P108:P109"/>
    <mergeCell ref="Q108:Q109"/>
    <mergeCell ref="A115:B115"/>
    <mergeCell ref="I108:I109"/>
    <mergeCell ref="J108:J109"/>
  </mergeCells>
  <pageMargins left="0.15748031496062992" right="0.15748031496062992" top="0.43307086614173229" bottom="0.19685039370078741" header="0" footer="0"/>
  <pageSetup paperSize="9" scale="40" fitToHeight="0" orientation="landscape" r:id="rId1"/>
  <rowBreaks count="7" manualBreakCount="7">
    <brk id="16" max="12" man="1"/>
    <brk id="41" max="12" man="1"/>
    <brk id="54" max="12" man="1"/>
    <brk id="73" max="12" man="1"/>
    <brk id="85" max="12" man="1"/>
    <brk id="95" max="12" man="1"/>
    <brk id="107" max="12" man="1"/>
  </rowBreaks>
  <colBreaks count="1" manualBreakCount="1">
    <brk id="12" max="107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sqref="A1:A15"/>
    </sheetView>
  </sheetViews>
  <sheetFormatPr defaultRowHeight="15"/>
  <cols>
    <col min="1" max="1" width="17.140625" customWidth="1"/>
    <col min="2" max="2" width="29.42578125" customWidth="1"/>
  </cols>
  <sheetData>
    <row r="1" spans="1:2">
      <c r="A1">
        <v>32923.339999999997</v>
      </c>
    </row>
    <row r="2" spans="1:2">
      <c r="A2" s="566">
        <v>7.0000000000000001E-3</v>
      </c>
    </row>
    <row r="3" spans="1:2">
      <c r="A3">
        <v>190</v>
      </c>
    </row>
    <row r="4" spans="1:2">
      <c r="A4">
        <v>1740.77</v>
      </c>
    </row>
    <row r="5" spans="1:2">
      <c r="A5">
        <v>95187.85</v>
      </c>
    </row>
    <row r="6" spans="1:2">
      <c r="A6">
        <v>805.13</v>
      </c>
    </row>
    <row r="7" spans="1:2">
      <c r="A7">
        <v>5987.58</v>
      </c>
    </row>
    <row r="8" spans="1:2">
      <c r="A8">
        <v>59.6</v>
      </c>
    </row>
    <row r="9" spans="1:2">
      <c r="A9">
        <v>1243.98</v>
      </c>
    </row>
    <row r="10" spans="1:2">
      <c r="A10" s="566">
        <v>174.947</v>
      </c>
    </row>
    <row r="11" spans="1:2">
      <c r="A11">
        <v>32.76</v>
      </c>
    </row>
    <row r="12" spans="1:2">
      <c r="A12">
        <v>5644.66</v>
      </c>
    </row>
    <row r="13" spans="1:2">
      <c r="A13">
        <v>16908.276000000002</v>
      </c>
      <c r="B13">
        <v>16908.276000000002</v>
      </c>
    </row>
    <row r="14" spans="1:2">
      <c r="A14">
        <v>711</v>
      </c>
    </row>
    <row r="15" spans="1:2">
      <c r="A15" s="565">
        <f>SUM(A1:A14)</f>
        <v>161609.90000000002</v>
      </c>
      <c r="B15">
        <v>161609.9</v>
      </c>
    </row>
    <row r="16" spans="1:2">
      <c r="B16">
        <f>B15-A15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Отчет</vt:lpstr>
      <vt:lpstr>Лист1</vt:lpstr>
      <vt:lpstr>Лист2</vt:lpstr>
      <vt:lpstr>Отчет за 12 месяцев (2)</vt:lpstr>
      <vt:lpstr>Отчет за 1 полугодие (испра (2)</vt:lpstr>
      <vt:lpstr>Лист3</vt:lpstr>
      <vt:lpstr>Отчет!Заголовки_для_печати</vt:lpstr>
      <vt:lpstr>'Отчет за 1 полугодие (испра (2)'!Заголовки_для_печати</vt:lpstr>
      <vt:lpstr>'Отчет за 12 месяцев (2)'!Заголовки_для_печати</vt:lpstr>
      <vt:lpstr>Отчет!Область_печати</vt:lpstr>
      <vt:lpstr>'Отчет за 1 полугодие (испра (2)'!Область_печати</vt:lpstr>
      <vt:lpstr>'Отчет за 12 месяцев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2024-08-09T08:56:12Z</dcterms:modified>
</cp:coreProperties>
</file>