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930" yWindow="240" windowWidth="15750" windowHeight="12390"/>
  </bookViews>
  <sheets>
    <sheet name="Отчет" sheetId="12" r:id="rId1"/>
  </sheets>
  <definedNames>
    <definedName name="_xlnm.Print_Titles" localSheetId="0">Отчет!$4:$6</definedName>
    <definedName name="_xlnm.Print_Area" localSheetId="0">Отчет!$A$1:$L$143</definedName>
  </definedNames>
  <calcPr calcId="124519"/>
</workbook>
</file>

<file path=xl/calcChain.xml><?xml version="1.0" encoding="utf-8"?>
<calcChain xmlns="http://schemas.openxmlformats.org/spreadsheetml/2006/main">
  <c r="Q32" i="12"/>
  <c r="Q30"/>
  <c r="Q34"/>
  <c r="Q8"/>
  <c r="Q7"/>
  <c r="C10"/>
  <c r="C11"/>
  <c r="Q129" l="1"/>
  <c r="K96"/>
  <c r="K95"/>
  <c r="J96"/>
  <c r="Q86"/>
  <c r="Q88"/>
  <c r="Q74" l="1"/>
  <c r="Q71"/>
  <c r="Q69"/>
  <c r="Q68"/>
  <c r="Q63"/>
  <c r="Q61"/>
  <c r="Q58"/>
  <c r="Q57"/>
  <c r="Q56"/>
  <c r="Q48"/>
  <c r="Q47"/>
  <c r="Q52"/>
  <c r="Q113"/>
  <c r="Q114"/>
  <c r="Q115"/>
  <c r="Q119"/>
  <c r="Q99" l="1"/>
  <c r="Q100"/>
  <c r="Q101"/>
  <c r="Q84"/>
  <c r="Q83"/>
  <c r="Q82"/>
  <c r="Q76"/>
  <c r="Q43" l="1"/>
  <c r="Q41"/>
  <c r="Q31" l="1"/>
  <c r="Q27" l="1"/>
  <c r="Q26"/>
  <c r="Q25"/>
  <c r="Q24"/>
  <c r="Q23"/>
  <c r="Q14"/>
  <c r="Q13" l="1"/>
  <c r="Q11"/>
  <c r="D11" l="1"/>
  <c r="Q103" l="1"/>
  <c r="Q121"/>
  <c r="D120"/>
  <c r="F133"/>
  <c r="D133"/>
  <c r="Q89" l="1"/>
  <c r="Q92" l="1"/>
  <c r="Q45"/>
  <c r="J133"/>
  <c r="I133"/>
  <c r="H133"/>
  <c r="G133"/>
  <c r="F120"/>
  <c r="E133"/>
  <c r="C133"/>
  <c r="C124"/>
  <c r="C123" s="1"/>
  <c r="G129"/>
  <c r="G128"/>
  <c r="G103"/>
  <c r="G112"/>
  <c r="C112"/>
  <c r="G96"/>
  <c r="G94" s="1"/>
  <c r="C76"/>
  <c r="G86"/>
  <c r="H86"/>
  <c r="D76"/>
  <c r="C56"/>
  <c r="H45"/>
  <c r="J128" l="1"/>
  <c r="F76"/>
  <c r="C86"/>
  <c r="C88"/>
  <c r="G76"/>
  <c r="J76" s="1"/>
  <c r="J112"/>
  <c r="C102"/>
  <c r="H85"/>
  <c r="J86"/>
  <c r="J56"/>
  <c r="J130"/>
  <c r="F130"/>
  <c r="P129"/>
  <c r="J129"/>
  <c r="F129"/>
  <c r="D128"/>
  <c r="F128" s="1"/>
  <c r="J124"/>
  <c r="F124"/>
  <c r="I123"/>
  <c r="H123"/>
  <c r="G123"/>
  <c r="E123"/>
  <c r="P121"/>
  <c r="K121"/>
  <c r="J121"/>
  <c r="F121"/>
  <c r="J120"/>
  <c r="J113"/>
  <c r="F113"/>
  <c r="F112"/>
  <c r="J103"/>
  <c r="F103"/>
  <c r="I102"/>
  <c r="H102"/>
  <c r="E102"/>
  <c r="D102"/>
  <c r="J99"/>
  <c r="F99"/>
  <c r="J98"/>
  <c r="K98" s="1"/>
  <c r="F98"/>
  <c r="J97"/>
  <c r="F97"/>
  <c r="K97" s="1"/>
  <c r="F96"/>
  <c r="J95"/>
  <c r="F95"/>
  <c r="I94"/>
  <c r="H94"/>
  <c r="E94"/>
  <c r="D94"/>
  <c r="C94"/>
  <c r="J93"/>
  <c r="F93"/>
  <c r="J89"/>
  <c r="F89"/>
  <c r="J88"/>
  <c r="J87"/>
  <c r="F87"/>
  <c r="I85"/>
  <c r="G85"/>
  <c r="E85"/>
  <c r="D85"/>
  <c r="J73"/>
  <c r="F73"/>
  <c r="J72"/>
  <c r="F72"/>
  <c r="J68"/>
  <c r="F68"/>
  <c r="F56"/>
  <c r="J47"/>
  <c r="F47"/>
  <c r="I46"/>
  <c r="H46"/>
  <c r="G46"/>
  <c r="E46"/>
  <c r="D46"/>
  <c r="C46"/>
  <c r="J45"/>
  <c r="F45"/>
  <c r="J43"/>
  <c r="F43"/>
  <c r="J38"/>
  <c r="F38"/>
  <c r="P25"/>
  <c r="P24"/>
  <c r="P21"/>
  <c r="P17"/>
  <c r="P14"/>
  <c r="J11"/>
  <c r="E11"/>
  <c r="F11" s="1"/>
  <c r="I10"/>
  <c r="H10"/>
  <c r="G10"/>
  <c r="E10"/>
  <c r="D10"/>
  <c r="J9"/>
  <c r="F9"/>
  <c r="J7"/>
  <c r="F7"/>
  <c r="K99" l="1"/>
  <c r="F94"/>
  <c r="J46"/>
  <c r="K93"/>
  <c r="K9"/>
  <c r="K87"/>
  <c r="K11"/>
  <c r="J85"/>
  <c r="F10"/>
  <c r="K38"/>
  <c r="K45"/>
  <c r="K47"/>
  <c r="K72"/>
  <c r="K89"/>
  <c r="F102"/>
  <c r="K129"/>
  <c r="K7"/>
  <c r="K43"/>
  <c r="K113"/>
  <c r="K68"/>
  <c r="K73"/>
  <c r="E131"/>
  <c r="E134" s="1"/>
  <c r="K103"/>
  <c r="I131"/>
  <c r="I134" s="1"/>
  <c r="K130"/>
  <c r="K124"/>
  <c r="K120"/>
  <c r="J94"/>
  <c r="K94" s="1"/>
  <c r="F46"/>
  <c r="K56"/>
  <c r="C85"/>
  <c r="C131" s="1"/>
  <c r="C134" s="1"/>
  <c r="F88"/>
  <c r="K88" s="1"/>
  <c r="H131"/>
  <c r="H134" s="1"/>
  <c r="F86"/>
  <c r="K112"/>
  <c r="J102"/>
  <c r="G102"/>
  <c r="K76"/>
  <c r="F123"/>
  <c r="J10"/>
  <c r="J123"/>
  <c r="D123"/>
  <c r="D131" s="1"/>
  <c r="D134" s="1"/>
  <c r="K10" l="1"/>
  <c r="K123"/>
  <c r="K46"/>
  <c r="K102"/>
  <c r="J131"/>
  <c r="J134" s="1"/>
  <c r="G131"/>
  <c r="G134" s="1"/>
  <c r="F85"/>
  <c r="F131" s="1"/>
  <c r="F134" s="1"/>
  <c r="K86"/>
  <c r="K85" l="1"/>
  <c r="K131" l="1"/>
</calcChain>
</file>

<file path=xl/comments1.xml><?xml version="1.0" encoding="utf-8"?>
<comments xmlns="http://schemas.openxmlformats.org/spreadsheetml/2006/main">
  <authors>
    <author>Автор</author>
  </authors>
  <commentList>
    <comment ref="D11" authorId="0">
      <text>
        <r>
          <rPr>
            <b/>
            <sz val="18"/>
            <color indexed="81"/>
            <rFont val="Tahoma"/>
            <family val="2"/>
            <charset val="204"/>
          </rPr>
          <t>Автор:
по приказу +7000,00</t>
        </r>
      </text>
    </comment>
    <comment ref="H45" authorId="0">
      <text>
        <r>
          <rPr>
            <b/>
            <sz val="20"/>
            <color indexed="81"/>
            <rFont val="Tahoma"/>
            <family val="2"/>
            <charset val="204"/>
          </rPr>
          <t>Автор:
-0,01</t>
        </r>
      </text>
    </comment>
    <comment ref="C56" authorId="0">
      <text>
        <r>
          <rPr>
            <b/>
            <sz val="20"/>
            <color indexed="81"/>
            <rFont val="Tahoma"/>
            <family val="2"/>
            <charset val="204"/>
          </rPr>
          <t>Автор:
-0,01</t>
        </r>
      </text>
    </comment>
    <comment ref="J56" authorId="0">
      <text>
        <r>
          <rPr>
            <b/>
            <sz val="20"/>
            <color indexed="81"/>
            <rFont val="Tahoma"/>
            <family val="2"/>
            <charset val="204"/>
          </rPr>
          <t>Автор:
+0,001</t>
        </r>
      </text>
    </comment>
    <comment ref="C76" authorId="0">
      <text>
        <r>
          <rPr>
            <b/>
            <sz val="20"/>
            <color indexed="81"/>
            <rFont val="Tahoma"/>
            <family val="2"/>
            <charset val="204"/>
          </rPr>
          <t>Автор:
+0,01</t>
        </r>
      </text>
    </comment>
    <comment ref="C86" authorId="0">
      <text>
        <r>
          <rPr>
            <b/>
            <sz val="20"/>
            <color indexed="81"/>
            <rFont val="Tahoma"/>
            <family val="2"/>
            <charset val="204"/>
          </rPr>
          <t>Автор:
-0,002</t>
        </r>
      </text>
    </comment>
    <comment ref="G86" authorId="0">
      <text>
        <r>
          <rPr>
            <b/>
            <sz val="20"/>
            <color indexed="81"/>
            <rFont val="Tahoma"/>
            <family val="2"/>
            <charset val="204"/>
          </rPr>
          <t>Автор:
-0,01</t>
        </r>
      </text>
    </comment>
    <comment ref="G96" authorId="0">
      <text>
        <r>
          <rPr>
            <b/>
            <sz val="20"/>
            <color indexed="81"/>
            <rFont val="Tahoma"/>
            <family val="2"/>
            <charset val="204"/>
          </rPr>
          <t>Автор:
-0,03</t>
        </r>
      </text>
    </comment>
    <comment ref="G103" authorId="0">
      <text>
        <r>
          <rPr>
            <b/>
            <sz val="20"/>
            <color indexed="81"/>
            <rFont val="Tahoma"/>
            <family val="2"/>
            <charset val="204"/>
          </rPr>
          <t>Автор:
-0,01</t>
        </r>
      </text>
    </comment>
    <comment ref="D120" authorId="0">
      <text>
        <r>
          <rPr>
            <b/>
            <sz val="20"/>
            <color indexed="81"/>
            <rFont val="Tahoma"/>
            <family val="2"/>
            <charset val="204"/>
          </rPr>
          <t>Автор:
-0,01</t>
        </r>
      </text>
    </comment>
    <comment ref="C124" authorId="0">
      <text>
        <r>
          <rPr>
            <b/>
            <sz val="20"/>
            <color indexed="81"/>
            <rFont val="Tahoma"/>
            <family val="2"/>
            <charset val="204"/>
          </rPr>
          <t>Автор:
+0,02</t>
        </r>
      </text>
    </comment>
    <comment ref="G128" authorId="0">
      <text>
        <r>
          <rPr>
            <b/>
            <sz val="20"/>
            <color indexed="81"/>
            <rFont val="Tahoma"/>
            <family val="2"/>
            <charset val="204"/>
          </rPr>
          <t>Автор:
+0,01</t>
        </r>
      </text>
    </comment>
    <comment ref="G129" authorId="0">
      <text>
        <r>
          <rPr>
            <b/>
            <sz val="20"/>
            <color indexed="81"/>
            <rFont val="Tahoma"/>
            <family val="2"/>
            <charset val="204"/>
          </rPr>
          <t>Автор:
-0,01</t>
        </r>
      </text>
    </comment>
    <comment ref="C131" authorId="0">
      <text>
        <r>
          <rPr>
            <b/>
            <sz val="20"/>
            <color indexed="81"/>
            <rFont val="Tahoma"/>
            <family val="2"/>
            <charset val="204"/>
          </rPr>
          <t>Автор:
-0,04</t>
        </r>
      </text>
    </comment>
    <comment ref="F131" authorId="0">
      <text>
        <r>
          <rPr>
            <b/>
            <sz val="20"/>
            <color indexed="81"/>
            <rFont val="Tahoma"/>
            <family val="2"/>
            <charset val="204"/>
          </rPr>
          <t>Автор:
-0,01</t>
        </r>
      </text>
    </comment>
  </commentList>
</comments>
</file>

<file path=xl/sharedStrings.xml><?xml version="1.0" encoding="utf-8"?>
<sst xmlns="http://schemas.openxmlformats.org/spreadsheetml/2006/main" count="202" uniqueCount="197">
  <si>
    <t>Кассовые расходы с начала года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</si>
  <si>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</si>
  <si>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«Наследие Усть-Абаканского района»</t>
  </si>
  <si>
    <t>Подпрограмма «Развитие культурного потенциала Усть-Абаканского района»</t>
  </si>
  <si>
    <t>Подпрограмма «Искусство Усть-Абаканского района»</t>
  </si>
  <si>
    <t>Подпрограмма «Обеспечение реализации муниципальной программы»</t>
  </si>
  <si>
    <t>Подпрограмма «Молодежь Усть-Абаканского района»</t>
  </si>
  <si>
    <t>Подпрограмма «Социальная поддержка детей-сирот и детей, оставшихся без попечения родителей»</t>
  </si>
  <si>
    <t>Подпрограмма «Организация отдыха и оздоровления детей в Усть-Абаканском районе»</t>
  </si>
  <si>
    <t>Подпрограмма «Профилактика правонарушений, обеспечение безопасности и общественного порядка»</t>
  </si>
  <si>
    <t>Подпрограмма «Профилактика безнадзорности и правонарушений несовершеннолетних»</t>
  </si>
  <si>
    <t>Подпрограмма «Профилактика террористической и экстремистской деятельности»</t>
  </si>
  <si>
    <t xml:space="preserve">Подпрограмма «Дорожное хозяйство» </t>
  </si>
  <si>
    <t>Подпрограмма «Транспортное обслуживание населения»</t>
  </si>
  <si>
    <t>Подпрограмма «Модернизация объектов коммунальной инфраструктуры»</t>
  </si>
  <si>
    <t>Подпрограмма «Чистая вода»</t>
  </si>
  <si>
    <t>тыс.руб.</t>
  </si>
  <si>
    <t>№ п/п</t>
  </si>
  <si>
    <t>Муниципальная программа</t>
  </si>
  <si>
    <t xml:space="preserve">План на год </t>
  </si>
  <si>
    <t>Информация о выполненных мероприятиях</t>
  </si>
  <si>
    <t>МБ</t>
  </si>
  <si>
    <t>РХ</t>
  </si>
  <si>
    <t>РФ</t>
  </si>
  <si>
    <t>Всего</t>
  </si>
  <si>
    <t>1.</t>
  </si>
  <si>
    <t>2.</t>
  </si>
  <si>
    <t>3.</t>
  </si>
  <si>
    <t>4.</t>
  </si>
  <si>
    <t>5.</t>
  </si>
  <si>
    <t>Муниципальная программа «Повышение эффективности и управления муниципальными финансами Усть-Абаканского района»</t>
  </si>
  <si>
    <t>6.</t>
  </si>
  <si>
    <t>7.</t>
  </si>
  <si>
    <t>7.1.</t>
  </si>
  <si>
    <t>Подпрограмма «Развитие дошкольного, начального, общего, основного общего, среднего образования»</t>
  </si>
  <si>
    <t>7.2.</t>
  </si>
  <si>
    <t>7.3.</t>
  </si>
  <si>
    <t>Подпрограмма «Патриотическое воспитание»</t>
  </si>
  <si>
    <t>8.</t>
  </si>
  <si>
    <t>Подпрограмма «Обеспечение реализации муниципальной  программы»</t>
  </si>
  <si>
    <t>9.</t>
  </si>
  <si>
    <t>10.</t>
  </si>
  <si>
    <t>11.</t>
  </si>
  <si>
    <t>12.</t>
  </si>
  <si>
    <t>12.1.</t>
  </si>
  <si>
    <t>12.2.</t>
  </si>
  <si>
    <t>Подпрограмма «Развитие мер социальной поддержки отдельных категорий граждан в Усть-Абаканском районе»</t>
  </si>
  <si>
    <t>13.</t>
  </si>
  <si>
    <t>14.</t>
  </si>
  <si>
    <t>Подпрограмма  «Повышение безопасности дорожного движения»</t>
  </si>
  <si>
    <t>15.</t>
  </si>
  <si>
    <t>16.</t>
  </si>
  <si>
    <t>16.1.</t>
  </si>
  <si>
    <t>16.2.</t>
  </si>
  <si>
    <t>17.</t>
  </si>
  <si>
    <t>ВСЕГО по муниципальным программам:</t>
  </si>
  <si>
    <t xml:space="preserve">Заместитель Главы администрации </t>
  </si>
  <si>
    <t>Усть-Абаканского района по финансам и экономике</t>
  </si>
  <si>
    <t>- руководитель УФиЭ администрации Усть-Абаканского района</t>
  </si>
  <si>
    <t>Н.А. Потылицына</t>
  </si>
  <si>
    <t>Исполнитель</t>
  </si>
  <si>
    <t>Сконина К.В. 2-18-52</t>
  </si>
  <si>
    <t>3.1.</t>
  </si>
  <si>
    <t>3.2.</t>
  </si>
  <si>
    <t>3.3.</t>
  </si>
  <si>
    <t>5.1.</t>
  </si>
  <si>
    <t>5.2.</t>
  </si>
  <si>
    <t>5.3.</t>
  </si>
  <si>
    <t>5.4.</t>
  </si>
  <si>
    <t>5.5.</t>
  </si>
  <si>
    <t>10.1.</t>
  </si>
  <si>
    <t>10.2.</t>
  </si>
  <si>
    <t>10.3.</t>
  </si>
  <si>
    <t>10.4.</t>
  </si>
  <si>
    <t>Главный специалист экономического отдела</t>
  </si>
  <si>
    <t>Управления финансов и экономики администрации Усть-Абаканского района</t>
  </si>
  <si>
    <t>Муниципальная программа «Развитие физической культуры и спорта в Усть-Абаканском районе»</t>
  </si>
  <si>
    <t>Муниципальная программа «Социальная поддержка граждан»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</si>
  <si>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районе»</t>
  </si>
  <si>
    <t xml:space="preserve">Муниципальная программа «Обеспечение общественного порядка и противодействие преступности в Усть-Абаканском районе» </t>
  </si>
  <si>
    <t>Муниципальная программа «Развитие туризма в Усть-Абаканском районе»</t>
  </si>
  <si>
    <t>Муниципальная программа «Развитие транспортной системы Усть-Абаканского района»</t>
  </si>
  <si>
    <t xml:space="preserve">Муниципальная программа «Жилище» 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</si>
  <si>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районе» </t>
  </si>
  <si>
    <t>Муниципальная программа «Развитие торговли в Усть-Абаканском районе»</t>
  </si>
  <si>
    <t>Муниципальная программа «Развитие муниципального имущества в Усть-Абаканском районе»</t>
  </si>
  <si>
    <t>Муниципальная программа «Культура Усть-Абаканского района»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</si>
  <si>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объектах»</t>
  </si>
  <si>
    <t>Муниципальная программа «Развитие  образования  в  Усть-Абаканском районе»</t>
  </si>
  <si>
    <t>Муниципальная программа «Развитие субъектов малого и среднего предпринимательства в Усть-Абаканском районе»</t>
  </si>
  <si>
    <r>
      <t xml:space="preserve">Выполнено с начала года % </t>
    </r>
    <r>
      <rPr>
        <b/>
        <sz val="10"/>
        <color theme="1"/>
        <rFont val="Times New Roman"/>
        <family val="1"/>
        <charset val="204"/>
      </rPr>
      <t>(гр.10/гр.6х100)</t>
    </r>
  </si>
  <si>
    <t>Муниципальная программа «Улучшение условий и охраны труда в Усть-Абаканском районе»</t>
  </si>
  <si>
    <t xml:space="preserve"> </t>
  </si>
  <si>
    <r>
      <rPr>
        <b/>
        <sz val="14"/>
        <rFont val="Times New Roman"/>
        <family val="1"/>
        <charset val="204"/>
      </rPr>
      <t xml:space="preserve">4.Капитальный ремонт в муниципальных учреждениях, в том числе проектно-сметная документация -  </t>
    </r>
    <r>
      <rPr>
        <sz val="14"/>
        <rFont val="Times New Roman"/>
        <family val="1"/>
        <charset val="204"/>
      </rPr>
      <t xml:space="preserve">Капитальный ремонт системы водоснабжения (ДШИ)       </t>
    </r>
  </si>
  <si>
    <r>
      <rPr>
        <b/>
        <sz val="14"/>
        <color theme="1"/>
        <rFont val="Times New Roman"/>
        <family val="1"/>
        <charset val="204"/>
      </rPr>
      <t xml:space="preserve">Региональный проект Республики Хакасия «Успех каждого ребенка»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- 2461,4, из них: </t>
    </r>
    <r>
      <rPr>
        <b/>
        <sz val="14"/>
        <color theme="1"/>
        <rFont val="Times New Roman"/>
        <family val="1"/>
        <charset val="204"/>
      </rPr>
      <t>2461,4(РФ), 24,4(РХ), 24,6(МБ)</t>
    </r>
    <r>
      <rPr>
        <sz val="14"/>
        <color theme="1"/>
        <rFont val="Times New Roman"/>
        <family val="1"/>
        <charset val="204"/>
      </rPr>
      <t xml:space="preserve"> Капитальный ремонт спорт.зала Усть-Бюрская СОШ</t>
    </r>
  </si>
  <si>
    <t xml:space="preserve">Муниципальная программа «Комплексное развитие сельских территорий Усть-Абаканского района» </t>
  </si>
  <si>
    <r>
      <rPr>
        <b/>
        <sz val="14"/>
        <rFont val="Times New Roman"/>
        <family val="1"/>
        <charset val="204"/>
      </rPr>
      <t>3.Капитальный ремонт в муниципальных учреждениях, в том числе проектно-сметная документация - 46,2,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1. Разработка ПСД на капитальный ремонт Автоматической установки пожарной сигнализации и системы оповещения - 46,2.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</si>
  <si>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4. Государственная поддержка отрасли культуры за счет средств резервного фонда Правительства Российской Федерации (в том числе софинансирование с республиканским бюджетом) </t>
    </r>
    <r>
      <rPr>
        <sz val="14"/>
        <rFont val="Times New Roman"/>
        <family val="1"/>
        <charset val="204"/>
      </rPr>
      <t>- 188,0, из них:</t>
    </r>
    <r>
      <rPr>
        <b/>
        <sz val="14"/>
        <rFont val="Times New Roman"/>
        <family val="1"/>
        <charset val="204"/>
      </rPr>
      <t xml:space="preserve"> 3,8 (МБ), 18,4 (РХ), 165,8 (РФ) </t>
    </r>
    <r>
      <rPr>
        <sz val="14"/>
        <rFont val="Times New Roman"/>
        <family val="1"/>
        <charset val="204"/>
      </rPr>
      <t>Комплектование книжных фондов</t>
    </r>
  </si>
  <si>
    <r>
      <t xml:space="preserve">Развитие архивного дела:                                                                                                                                                                                                       1. Мероприятия по поддержке и развитию культуры, искусства и архивного дела - 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</t>
    </r>
  </si>
  <si>
    <t xml:space="preserve">2. Экспертиза сметной стоимости - 204,7.           </t>
  </si>
  <si>
    <r>
      <rPr>
        <b/>
        <sz val="14"/>
        <color theme="1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color theme="1"/>
        <rFont val="Times New Roman"/>
        <family val="1"/>
        <charset val="204"/>
      </rPr>
      <t xml:space="preserve"> - Произведена выплата  перевозчику  маршрута № 113 «п.Усть-Абакан – п.Расцвет – п.Тепличный – с.Зелёное»</t>
    </r>
  </si>
  <si>
    <t>ОТЧЕТ</t>
  </si>
  <si>
    <t xml:space="preserve">2.Строительство, реконструкция объектов муниципальной собственности, в том числе разработка проектно-сметной документации </t>
  </si>
  <si>
    <r>
      <t>2.Строительство, реконструкция объектов муниципальной собственности, в том числе разработка проектно-сметной документации - 1,1</t>
    </r>
    <r>
      <rPr>
        <sz val="14"/>
        <rFont val="Times New Roman"/>
        <family val="1"/>
        <charset val="204"/>
      </rPr>
      <t>:                                                                                                                                                                                                                                               ^Земельный налог на участок д.Чапаево.</t>
    </r>
  </si>
  <si>
    <t xml:space="preserve">   </t>
  </si>
  <si>
    <t xml:space="preserve"> о реализации муниципальных программ, действующих на территории Усть-Абаканского района Республики Хакасия за 1 полугодие 2022 года.</t>
  </si>
  <si>
    <r>
      <rPr>
        <b/>
        <sz val="14"/>
        <color theme="1"/>
        <rFont val="Times New Roman"/>
        <family val="1"/>
        <charset val="204"/>
      </rPr>
      <t xml:space="preserve">1.Мероприятия, направленные на стимулирование деловой активности хозяйствующих субъектов, осуществляющих торговую деятельность - </t>
    </r>
    <r>
      <rPr>
        <sz val="14"/>
        <color theme="1"/>
        <rFont val="Times New Roman"/>
        <family val="1"/>
        <charset val="204"/>
      </rPr>
      <t xml:space="preserve">Проведение районного конкурса "Лучшее предприятие торговли" запланировано на 4 квартал 2022 года;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2.Возмещение части затрат хозяйствующим субъектам, осуществляющим торговую деятельность</t>
    </r>
    <r>
      <rPr>
        <sz val="14"/>
        <color theme="1"/>
        <rFont val="Times New Roman"/>
        <family val="1"/>
        <charset val="204"/>
      </rPr>
      <t xml:space="preserve"> Документы на компенсацию затрат от Московского потребительского общества, осуществляющего доставку в 2021 году продуктовых и непродуктовых товаров жителям малых сел, не имеющих стационарных точек торговли, в 1 полугодии 2022 года не предоставлялись.</t>
    </r>
  </si>
  <si>
    <r>
      <rPr>
        <b/>
        <sz val="14"/>
        <color theme="1"/>
        <rFont val="Times New Roman"/>
        <family val="1"/>
        <charset val="204"/>
      </rPr>
      <t>Содействие в обеспеченности жилыми помещениями молодых семей: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Выдано 1 свидетельство на получение социальной выплаты. Срок действия свидетельства до 25 сентября 2022 г.  Выплата планируется на июль 2022 года.         </t>
    </r>
  </si>
  <si>
    <r>
      <rPr>
        <b/>
        <sz val="14"/>
        <color theme="1"/>
        <rFont val="Times New Roman"/>
        <family val="1"/>
        <charset val="204"/>
      </rPr>
      <t>3.Мероприятия в сфере развития земельно-имущественных отношений - 47,0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- 47,0.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</si>
  <si>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Мероприятия в сфере поддержки малого и среднего предпринимательства - 35,2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районного конкурса «Предприниматель 2021 года».                                                              </t>
    </r>
  </si>
  <si>
    <r>
      <rPr>
        <b/>
        <sz val="14"/>
        <rFont val="Times New Roman"/>
        <family val="1"/>
        <charset val="204"/>
      </rPr>
      <t>1.Обеспечение деятельности подведомственных учреждений ("Единая дежурная диспетчерская служба") -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2424,1.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</t>
    </r>
    <r>
      <rPr>
        <b/>
        <sz val="14"/>
        <rFont val="Times New Roman"/>
        <family val="1"/>
        <charset val="204"/>
      </rPr>
      <t xml:space="preserve">2.Мероприятия по защите населения от чрезвычайных ситуаций, пожарной безопасности и безопасности на водных объектах - 21,4,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^Изготовление баннера по пожарной безопасности - 3,0;                                                                                                                         ^Изготовление памяток по пяти видам рисков ЧС - 18,4.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3.Материально-техническое обеспечение единых дежурно-диспетчерских служб муниципальных образований - </t>
    </r>
    <r>
      <rPr>
        <sz val="14"/>
        <rFont val="Times New Roman"/>
        <family val="1"/>
        <charset val="204"/>
      </rPr>
      <t xml:space="preserve">160,8, из них: </t>
    </r>
    <r>
      <rPr>
        <b/>
        <sz val="14"/>
        <rFont val="Times New Roman"/>
        <family val="1"/>
        <charset val="204"/>
      </rPr>
      <t xml:space="preserve">3,2 (МБ), 157,6 (РХ) </t>
    </r>
    <r>
      <rPr>
        <sz val="14"/>
        <rFont val="Times New Roman"/>
        <family val="1"/>
        <charset val="204"/>
      </rPr>
      <t xml:space="preserve">Прибретение 7 систем оповеществования.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4.Иные межбюджетные трансферты на мероприятия по защите населения от чрезвычайных ситуаций, пожарной безопасности и безопасности на водных объектах - 211,5 </t>
    </r>
    <r>
      <rPr>
        <sz val="14"/>
        <rFont val="Times New Roman"/>
        <family val="1"/>
        <charset val="204"/>
      </rPr>
      <t xml:space="preserve">Проведение опашки населенных пунктов; Приобретение пожарного инвентаря, автономных пожарных извещателей.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
</t>
    </r>
    <r>
      <rPr>
        <b/>
        <sz val="12"/>
        <rFont val="Times New Roman"/>
        <family val="1"/>
        <charset val="204"/>
      </rPr>
      <t/>
    </r>
  </si>
  <si>
    <r>
      <t xml:space="preserve">4.Обеспечение обслуживания, содержания и распоряжения муниципальной собственность - 407,0, </t>
    </r>
    <r>
      <rPr>
        <sz val="14"/>
        <color theme="1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- 49,7;                                                                                                    ^Опашка з/у (противопожарные мероприятия) - 99,9;                                                                                                                                                ^Ремонт муниципального имущества - 234,7;                                                                                                                                                      ^Транспортный налог - 22,7.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</si>
  <si>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- 111,4,0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участков.    </t>
    </r>
  </si>
  <si>
    <r>
      <rPr>
        <b/>
        <sz val="14"/>
        <color theme="1"/>
        <rFont val="Times New Roman"/>
        <family val="1"/>
        <charset val="204"/>
      </rPr>
      <t>1.Обеспечение деятельности УИО - 7740,8</t>
    </r>
    <r>
      <rPr>
        <sz val="14"/>
        <color theme="1"/>
        <rFont val="Times New Roman"/>
        <family val="1"/>
        <charset val="204"/>
      </rPr>
      <t xml:space="preserve">, в том числе: заработная плата - 5105,2; начисления на выплаты по оплате труда - 1253,0; командировочные расходы - 74,3; услуги связи - 98,3; конверты - 6,2; транспортные услуги - 160,7; работы, услуги по содержанию имущества - 240,2; прочие работы, услуги - </t>
    </r>
    <r>
      <rPr>
        <sz val="14"/>
        <rFont val="Times New Roman"/>
        <family val="1"/>
        <charset val="204"/>
      </rPr>
      <t>291,0</t>
    </r>
    <r>
      <rPr>
        <sz val="14"/>
        <color theme="1"/>
        <rFont val="Times New Roman"/>
        <family val="1"/>
        <charset val="204"/>
      </rPr>
      <t xml:space="preserve">; приобретение основных средств - 278,5; приобретение ГСМ - 109,2; приобретение материальных запасов - </t>
    </r>
    <r>
      <rPr>
        <sz val="14"/>
        <rFont val="Times New Roman"/>
        <family val="1"/>
        <charset val="204"/>
      </rPr>
      <t>122,4; транспортный налог - 1,8.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</t>
    </r>
    <r>
      <rPr>
        <b/>
        <sz val="12"/>
        <rFont val="Times New Roman"/>
        <family val="1"/>
        <charset val="204"/>
      </rPr>
      <t/>
    </r>
  </si>
  <si>
    <t>Осуществление органами местного самоуправления государственных полномочий в области охраны труда - 323,6 (РХ).</t>
  </si>
  <si>
    <r>
      <t xml:space="preserve">Совершенствование системы охраны труда.                                                                                                                                     1.Мероприятия в области улучшений условий и охраны труда - 1403,30, из них: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производственного контроля - 735,1;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^Приобретение специальной одежды - 183,7;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специальной оценки условий труда - 188,0;                                                                                                                                                                    ^Проведение обучения по охране труда - 76,4;                                                                                                                                                                                       ^Проведение медицинских осмотров - 135,7;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- 1,1;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смывающих и обеззараживающих средств - 9,8 (мыло туалетное,крем для рук);                                                                                                                                                                                                                                                                                                                                                                                                                                                             ^Обустройство мест отдыха - 20,0;                                                                                                                                                                                                   ^Приобретение аптечек для оказания первой помощи - 0,5;                                                                                                  ^Приобретение "Системы охраны труда" - 53,0.                    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</si>
  <si>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3. Выполнение инженерно-геодезических изысканий </t>
    </r>
    <r>
      <rPr>
        <sz val="14"/>
        <rFont val="Times New Roman"/>
        <family val="1"/>
        <charset val="204"/>
      </rPr>
      <t xml:space="preserve">в целях подготовки проектной документации для ремонта автомобильной дороги с. Солнечное-д. Курганная Усть-Абаканского района Республики  Хакасия </t>
    </r>
    <r>
      <rPr>
        <b/>
        <sz val="14"/>
        <rFont val="Times New Roman"/>
        <family val="1"/>
        <charset val="204"/>
      </rPr>
      <t>- 600,0</t>
    </r>
    <r>
      <rPr>
        <sz val="14"/>
        <rFont val="Times New Roman"/>
        <family val="1"/>
        <charset val="204"/>
      </rPr>
      <t>.</t>
    </r>
  </si>
  <si>
    <t xml:space="preserve">4. Установка дорожных знаков - 46,9; </t>
  </si>
  <si>
    <t>5. Дорожная разметка - 148,4.</t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</si>
  <si>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 xml:space="preserve">- 1005,7, из них: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- 51,8</t>
    </r>
    <r>
      <rPr>
        <sz val="14"/>
        <rFont val="Times New Roman"/>
        <family val="1"/>
        <charset val="204"/>
      </rPr>
      <t xml:space="preserve">, из них: Оплата земельного налога и налога на имущество по строительству жилья,предоставляемого по договору найма.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</t>
    </r>
    <r>
      <rPr>
        <sz val="14"/>
        <rFont val="Times New Roman"/>
        <family val="1"/>
        <charset val="204"/>
      </rPr>
      <t>953,9, в том числе:</t>
    </r>
    <r>
      <rPr>
        <b/>
        <sz val="14"/>
        <rFont val="Times New Roman"/>
        <family val="1"/>
        <charset val="204"/>
      </rPr>
      <t xml:space="preserve"> 721,0 (МБ), 2,3 (РХ), 230,6 (ФБ) </t>
    </r>
    <r>
      <rPr>
        <sz val="14"/>
        <rFont val="Times New Roman"/>
        <family val="1"/>
        <charset val="204"/>
      </rPr>
      <t>Получен сертификат на покупку жилья - 1 чел.</t>
    </r>
  </si>
  <si>
    <r>
      <t xml:space="preserve">Обеспечение деятельности органов местного самоуправления - </t>
    </r>
    <r>
      <rPr>
        <sz val="14"/>
        <rFont val="Times New Roman"/>
        <family val="1"/>
        <charset val="204"/>
      </rPr>
      <t xml:space="preserve">5807,9, из них:                                                            </t>
    </r>
    <r>
      <rPr>
        <b/>
        <sz val="14"/>
        <rFont val="Times New Roman"/>
        <family val="1"/>
        <charset val="204"/>
      </rPr>
      <t xml:space="preserve">1.Органы местного самоуправления - 4956,9, </t>
    </r>
    <r>
      <rPr>
        <sz val="14"/>
        <rFont val="Times New Roman"/>
        <family val="1"/>
        <charset val="204"/>
      </rPr>
      <t xml:space="preserve">в том числе: заработная плата – 3145,3; социальное пособие - 3,3; начисления на выплаты по оплате труда – 696,7; услуги связи – 51,4; коммунальные услуги - 284,4; работы, услуги по содержанию имущества – 79,9; прочие работы, услуги – 530,7; страхование - 2,2; увеличение стоимости основных средств - 22,0; увеличение стоимости материальных запасов – 123,5; прочие расходы – 17,5.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2.Содержание объекта по утилизации биологических отходов - 95,3 </t>
    </r>
    <r>
      <rPr>
        <sz val="14"/>
        <rFont val="Times New Roman"/>
        <family val="1"/>
        <charset val="204"/>
      </rPr>
      <t xml:space="preserve">оплата за охрану и содержание объекта по договору.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3.Осуществление отдельных государственных полномочий по предупреждению и ликвидации болезней животных - 755,6 (РХ)</t>
    </r>
    <r>
      <rPr>
        <sz val="14"/>
        <rFont val="Times New Roman"/>
        <family val="1"/>
        <charset val="204"/>
      </rPr>
      <t>, из них: заработная плата – 261,1; начисления на выплаты по оплате труда – 78,9; уничтожение биологических отходов путем сжигания в спец.печах - 414,0; ГСМ - 1,6.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</si>
  <si>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- 24150,9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 - 14226,4, услуги связи - 32,1, транспортные услуги - 93,2, коммунальные услуги - 5383,8, услуги по сод.имущества - 905,0, прочие услуги - 289,3, прочие расходы - 2171,0, приобретение основных средств - 124,6, приобретение мат.запасов - 925,5.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</si>
  <si>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2.Капитальный ремонт в муниципальных учреждениях, в том числе проектно-сметная документация - 421,5,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д/с Ромашка - 36,8;                                                                                                      ^ПСД на капитальный ремонт кровли д/с Аленушка - 178,6;                                                                                                                    ^Капитальный ремонт эвакуационных выходов д/с Ромашка - 206,1.</t>
    </r>
  </si>
  <si>
    <r>
      <rPr>
        <b/>
        <sz val="14"/>
        <rFont val="Times New Roman"/>
        <family val="1"/>
        <charset val="204"/>
      </rPr>
      <t>3.Мероприятия по развитию дошкольного образования - 6035,5,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^Замена, установка пожарных лестниц (д/с Звездочка-10,0, д/с Ромашка-1194,49) - 1204,5;                                                                  ^Приобретение мебели в группу (д/с Звездочка-8,2, д/с Ласточка-48,8, д/с Солнышко-180,0, д/с Родничок-80,1) - 317,1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(д/с Родничок-63,2, д/с Ромашка-19,4, д/с Звездочка-43,5, д/с Аленушка-35,5, д/с Рябинушка-25,1) - 186,7;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Ромашка-38,0, д/с Калинка-348,7) - 386,7;                                                                                                                                                        ^Приобретение орг.техники: (д/с Ромашка-109,9, д/с Звездочка-115,6, д/с Родничок-110,0, д/с Калинка-40,0, д/с Рябинушка-110,0, д/с Аленушка-110,0, д/с Ласточка-110,0, д/с Радуга-110,0, д/с Солнышко-110,0) - 925,5;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огнетушителей, против.знаков, ГДЗК: (д/с Звездочка) - 1,5;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Ромашка-7,2, д/с Рябинушка-7,0, д/с Радуга-8,0) - 22,2;                                                                                                                                                                                                                                                                  ^Проверка качества огнезащитной обработки дерев.конструкций (д/с Рябинушка-6,0, д/с Радуга-9,6) - 15,6;                                                                                                                                                                                                            ^Ремонт отопления (д/с Аленушка) - 162,4;                                                                                                                                                     ^Установка, дооборуд. АУПС (д/с Радуга) - 46,6;                                                                                                                       ^Ремонт освещения, электрооборудования (д/с Радуга-63,8, д/с Звездочка-32,5) - 96,3;                                                                                                    ^ПСД на АУПС: (д/с Звездочка) - 29,3;                                                                                                                                            ^Ремонт помещений: (д/с Рябинушка-30,5, д/с Ласточка-187,2, д/с Радуга-763,6) - 981,3;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</si>
  <si>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^Замена окон, дверей (д/с Аленушка-92,5, д/с Рябинушка-675,4) - 767,9;                                                                              ^Монтаж ограждения (д/с Родничок-324,0, д/с Звездочка-424,7) - 748,7;                                                                                                         ^Приобретение стиральной машины (д/с Рябинушка) - 50,0;                                                                                                      ^Приобретение оборуд. в группу здоровья (д/с Ромашка) - 78,2;                                                                                                                            ^Дооборуд., ремонт видеонаблюдения (д/с Радуга) - 15,0.          </t>
  </si>
  <si>
    <r>
      <rPr>
        <b/>
        <sz val="14"/>
        <rFont val="Times New Roman"/>
        <family val="1"/>
        <charset val="204"/>
      </rPr>
      <t xml:space="preserve">4.Обеспечение государственных гарантий реализации прав на получение общедоступного и бесплатного дошкольного образования - 56 526,5 (РХ):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труда-54827,1, услуги связи-18,5, прочие услуги-1129,9, приобретение мат.запасов-551,0.                                                                                </t>
    </r>
  </si>
  <si>
    <r>
      <t xml:space="preserve">5.Модернизация региональных систем дошкольного образования </t>
    </r>
    <r>
      <rPr>
        <sz val="14"/>
        <rFont val="Times New Roman"/>
        <family val="1"/>
        <charset val="204"/>
      </rPr>
      <t>- 1339,0, из них</t>
    </r>
    <r>
      <rPr>
        <b/>
        <sz val="14"/>
        <rFont val="Times New Roman"/>
        <family val="1"/>
        <charset val="204"/>
      </rPr>
      <t>: 1318,6 (РХ), 20,4 (МБ): ^</t>
    </r>
    <r>
      <rPr>
        <sz val="14"/>
        <rFont val="Times New Roman"/>
        <family val="1"/>
        <charset val="204"/>
      </rPr>
      <t xml:space="preserve">Замена окон: д/с Рябинушка-1020,4, д/с Ласточка-318,6. 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</si>
  <si>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- 76047,7: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труда-26964,6, услуги связи-124,3, транспортные услуги-1544,1, коммунальные услуги-24156,5, аренда-36,3, услуги по сод.имущества-5277,8, прочие услуги-2457,5, прочие расходы-7127,7, приобретение основных средств-824,4, приобретение мат.запасов-7534,5.</t>
    </r>
  </si>
  <si>
    <t xml:space="preserve">^Установка противожарных дверей, люков: (Опытненская СОШ-106,0, Сапоговская СОШ-134,0, Расцветская СОШ-128,0, Московская СОШ-30,0, Весенненская СОШ-67,0, Солнечная СОШ-77,5) - 542,5;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столовую: (Калининская СОШ-50,5, Опытненская СОШ-70,0; Красноозерная ООШ-29,9) - 150,4;                                                                                                                                                                                                                               ^Огнезащитная обработка: (Опытненская СОШ-23,3, Весенненская СОШ-42,9, Райковская СОШ-7,0, Чапаевская СОШ-38,5) - 111,7;                                                                                                                                                                                     ^Проверка качества огнезащитной обработки (Усть-Абаканская СОШ-32,0, Опытненская СОШ-4,0, ОШИ-4,0) - 40,0;                                                                                                                                                                                                               ^Приобретение огнетушителей и против.знаков, ГДЗК, пож.рукавов (Райковская СОШ-1,7, Усть-Абаканская СОШ-5,3, У-Бюрская СОШ-6,3) - 13,3;                                                                                                                                                                   ^Приобретение клас.досок: (Калининская СОШ-51,5, Доможаковская СОШ-34,0) - 85,5;                                                ^Приобретение орг.техники: (Калининская СОШ-168,6, ОШИ-106,2, Сапоговская СОШ-330,0, В-Биджинская СОШ-220,0, Московская СОШ-220,0, Доможаковская СОШ-234,1, Солнечная СОШ-220,0, Росток-360,0, Райковская СОШ-313,3, Опытненская СОШ-110,0, Расцветская СОШ-110,0, Чарковская СОШИ-220,0, Усть-Абаканская СОШ-626,4, Весенненская СОШ-220,0, У-Бюрская СОШ-200,0, Красноозерная ООШ-504,3, Чапаевская СОШ-110,0) - 4272,9;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</si>
  <si>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^Приобретение мебели в группу д/с: (Усть-Бюрская СОШ-17,0, Сапоговская СОШ-40,0, Солнечная СОШ-50,0) - 107,0;                                                                                                                                                                                                              ^Приобретение стир.машины в сад (Райковская СОШ) - 46,2;                                                                                                                               ^Аккуст.в акт.зал (У-Абаканская СОШ) -151,0;                                                                                                                                                                                                                                       ^Ремонт помещений (Солнечная СОШ-330,4, В-Биджинская СОШ(мед.каб)-550,3 , Расцветская СОШ(мед.каб)-560,4, Красноозерная ООШ (прачка)-248,7) - 1689,8;                                                                                                                                              ^Ремонт отопления (Усть-Абаканская СОШ) - 262,5;                                                                                                                                       ^Ремонт котельной (Сапоговская СОШ) - 145,4;                                                                                                                        ^Ремонт вентиляции (Росток) - 163,0;                                                                                                                                                        ^Оценка технического состояния здания (Красноозерная ООШ) - 199,0;                                                                                                   ^ПСД на АУПС (Весенненская СОШ) - 45,8;                                                                                                                                                            ^Монтаж, дооборуд. АУПС (Сапоговская СОШ-1362,1, У-Бюрская СОШ-37,3, Весенненская СОШ-138,2) - 1537,6;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системы холодного водоснабжения, канализации (Чапаевская СОШ-242,4, Сапоговская СОШ-1024,8) - 1267,2;                                                                                                                                                                                                                                   </t>
  </si>
  <si>
    <t xml:space="preserve">^Проверка сметной документации на ремонт кабинетов (Расцветская СОШ-6,8, Московская СОШ-13,0, Опытненская СОШ-6,7) - 26,5;                                                                                                                                                           ^Проведение ГИА - 22,2;                                                                                                                                                                                ^Определение категории помещений по взрывопожарной опасности (Опытненская СОШ-6,4, Весенненская СОШ-24,0, Солнечная СОШ-7,0) - 37,4;                                                                                                                                                                                                     ^Испытание пожарных кранов и лестниц,ограждений кровли (Росток-8,0, ОШИ-2,0, Усть-Абаканская СОШ-12,0, Чапаевская СОШ-10,0) - 32,0;                                                                                                                                                            ^Конкурс "А ну-ка, девушки"- 34,0;                                                                                                                                                       ^Приобретение барабанов для парада на 9 мая - 260,3;                                                                                                                                                                              ^Проведение конкурса управленческих комад - 20,2;                                                                                                                                                     ^Проведение конкурса "Педагог дошкольного образования" - 30,3.               </t>
  </si>
  <si>
    <r>
      <rPr>
        <b/>
        <sz val="14"/>
        <color theme="1"/>
        <rFont val="Times New Roman"/>
        <family val="1"/>
        <charset val="204"/>
      </rPr>
      <t>5.Ежемесячное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- 21707,5 (ФБ) ^</t>
    </r>
    <r>
      <rPr>
        <sz val="14"/>
        <color theme="1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6.Обеспечение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- 266664,9(РХ)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труда-259687,8, услуги связи-64,4, прочие услуги-1850,4, приобретение основных средств-2853,6, приобретение мат.запасов -2208,7.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Times New Roman"/>
        <family val="1"/>
        <charset val="204"/>
      </rPr>
      <t xml:space="preserve">  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</si>
  <si>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4. Создание условия для обеспечения современного качества образования - 22978,3</t>
    </r>
    <r>
      <rPr>
        <sz val="14"/>
        <rFont val="Times New Roman"/>
        <family val="1"/>
        <charset val="204"/>
      </rPr>
      <t xml:space="preserve">, </t>
    </r>
    <r>
      <rPr>
        <sz val="14"/>
        <color theme="1"/>
        <rFont val="Times New Roman"/>
        <family val="1"/>
        <charset val="204"/>
      </rPr>
      <t>в том числе:</t>
    </r>
    <r>
      <rPr>
        <b/>
        <sz val="14"/>
        <color theme="1"/>
        <rFont val="Times New Roman"/>
        <family val="1"/>
        <charset val="204"/>
      </rPr>
      <t xml:space="preserve">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освещения, электрооборудования: (Московская СОШ) - 1422,0;                                                                                                          ^Обучение пож-тех минимум (Усть-Абаканская СОШ) - 3,0;    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 дверей (У-Бюрская СОШ-43,9, Солнечная СОШ-347,2, Красноозерная ООШ-392,1) - 783,2;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кабинетов: (Усть-Абаканская СОШ-90,0 (облуч), У-Бюрская СОШ-84,0 (облуч), В-Биджинская СОШ-644,8, Расцветская СОШ-654,8, Райковская СОШ-313,2, Доможаковская СОШ-108,8, Сапоговская СОШ-174,5, Калининская СОШ-4,7, Росток-226,6, Солнечная СОШ-265,4, Весенненская СОШ-583,9, ОШИ-91,9) - 3242,6;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^Санитарная безопасность: приобретение оборудования и инвентаря для пищеблоков: (Усть-Абаканская СОШ-673,8, Росток-120,0, У-Бюрская СОШ-17,0, ОШИ-97,0, Калининская СОШ-129,0, Райковская СОШ-183,2, Доможаковская СОШ-59,3) - 1279,3;                                                                                                                                                                                  ^Приобретение школьной мебели (ОШИ-125,0, Красноозерная ООШ-148,9, Солнечная СОШ-124,2) - 398,1;                                                                                                                                                                             ^Приобретение макета пнев.оружия (Усть-Абаканская СОШ) - 38,0;</t>
    </r>
    <r>
      <rPr>
        <sz val="14"/>
        <color rgb="FFFF0000"/>
        <rFont val="Times New Roman"/>
        <family val="1"/>
        <charset val="204"/>
      </rPr>
      <t xml:space="preserve">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^Ремонт кровли: (Сапоговская СОШ-266,0 (козырьки), У-Бюрская СОШ-920,9, Красноозерная ООШ-2280,5) - 3467,4;                                                                                                                                                                                                   ^Приобретение жалюзи: (Доможаковская СОШ-59,9, Сапоговская СОШ-4,8, Усть-Абаканская СОШ-134,6) - 199,3;                                                                                                                                                                                                      ^Локально-вычислительная сеть (Красноозерная ООШ-115,6, В-Биджинская СОШ-149,8) - 265,4;                                                                                                                                                                                  ^Ремонт ограждения: (Сапоговская СОШ) - 586,3;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</si>
  <si>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>8.Организация школьного питания</t>
    </r>
    <r>
      <rPr>
        <sz val="14"/>
        <color theme="1"/>
        <rFont val="Times New Roman"/>
        <family val="1"/>
        <charset val="204"/>
      </rPr>
      <t xml:space="preserve"> - 1865,5, из них:</t>
    </r>
    <r>
      <rPr>
        <b/>
        <sz val="14"/>
        <color theme="1"/>
        <rFont val="Times New Roman"/>
        <family val="1"/>
        <charset val="204"/>
      </rPr>
      <t xml:space="preserve"> 531,5 (МБ), 1334,1 (РХ) </t>
    </r>
    <r>
      <rPr>
        <sz val="14"/>
        <color theme="1"/>
        <rFont val="Times New Roman"/>
        <family val="1"/>
        <charset val="204"/>
      </rPr>
      <t xml:space="preserve"> (927 чел.)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9.Организация бесплатного горячего питания обучающихся, получающих начальное общее образование в  муниципальных образовательных организациях - </t>
    </r>
    <r>
      <rPr>
        <sz val="14"/>
        <color theme="1"/>
        <rFont val="Times New Roman"/>
        <family val="1"/>
        <charset val="204"/>
      </rPr>
      <t xml:space="preserve">12042,9, из них: </t>
    </r>
    <r>
      <rPr>
        <b/>
        <sz val="14"/>
        <color theme="1"/>
        <rFont val="Times New Roman"/>
        <family val="1"/>
        <charset val="204"/>
      </rPr>
      <t xml:space="preserve">120,4(МБ), 1192,25(РХ), 10730,25(ФБ).                                                                   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</si>
  <si>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10. Частичное погашение кредиторской задолженности - 59,4 (РХ)</t>
    </r>
    <r>
      <rPr>
        <sz val="14"/>
        <color theme="1"/>
        <rFont val="Times New Roman"/>
        <family val="1"/>
        <charset val="204"/>
      </rPr>
      <t xml:space="preserve"> (пени за несвоевременную оплату страховых взносов).</t>
    </r>
  </si>
  <si>
    <r>
      <rPr>
        <b/>
        <sz val="14"/>
        <color theme="1"/>
        <rFont val="Times New Roman"/>
        <family val="1"/>
        <charset val="204"/>
      </rPr>
      <t>Обеспечение условий развития сферы образования: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1.Органы местного самоуправления - 5642,7</t>
    </r>
    <r>
      <rPr>
        <sz val="14"/>
        <color theme="1"/>
        <rFont val="Times New Roman"/>
        <family val="1"/>
        <charset val="204"/>
      </rPr>
      <t xml:space="preserve">, из них: оплата труда-4775,9, услуги связи-28,5, услуги по сод.имущества-513,9, прочие услуги- 190,3, прочие расходы-23,1, приобретение основных средств-76,3, приобретение мат.запасов-34,7.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- 13201,9,</t>
    </r>
    <r>
      <rPr>
        <sz val="14"/>
        <color theme="1"/>
        <rFont val="Times New Roman"/>
        <family val="1"/>
        <charset val="204"/>
      </rPr>
      <t xml:space="preserve"> из них: оплата труда-11407,0, услуги связи-53,5, транспортные услуги-5,3, коммунальные услуги-228,3, аренда-35,0, услуги по сод.имущества- 508,8, прочие услуги-447,0, прочие расходы-34,4, приобретение основных средств-53,9, приобретение мат.запасов-428,7. </t>
    </r>
  </si>
  <si>
    <r>
      <rPr>
        <b/>
        <sz val="14"/>
        <color theme="1"/>
        <rFont val="Times New Roman"/>
        <family val="1"/>
        <charset val="204"/>
      </rPr>
      <t xml:space="preserve">Региональный проект Республики Хакасия «Цифровая образовательная среда»                                                                                                   1.Обеспечение образовательных организаций материально-технической базой для внедрения цифровой образовательной среды </t>
    </r>
    <r>
      <rPr>
        <sz val="14"/>
        <color theme="1"/>
        <rFont val="Times New Roman"/>
        <family val="1"/>
        <charset val="204"/>
      </rPr>
      <t xml:space="preserve">- 56,1, из них: </t>
    </r>
    <r>
      <rPr>
        <b/>
        <sz val="14"/>
        <color theme="1"/>
        <rFont val="Times New Roman"/>
        <family val="1"/>
        <charset val="204"/>
      </rPr>
      <t xml:space="preserve">55,0 (РФ); 0,5 (РХ); 0,6 (МБ)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^Приобретение МФУ: МБОУ "Московская СОШ им. А.П. Кыштымова"-19,3; МБОУ "Опытненская СОШ"-18,4; МБОУ "Расцветская СОШ"-18,4.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</si>
  <si>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</t>
    </r>
    <r>
      <rPr>
        <sz val="14"/>
        <rFont val="Times New Roman"/>
        <family val="1"/>
        <charset val="204"/>
      </rPr>
      <t>3061,2, из них</t>
    </r>
    <r>
      <rPr>
        <b/>
        <sz val="14"/>
        <rFont val="Times New Roman"/>
        <family val="1"/>
        <charset val="204"/>
      </rPr>
      <t xml:space="preserve">:  3000,0(РХ), 61,2(МБ)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^Приобретение учебной мебели (Росток-102,0, Райковская СОШ-591,84, У-Абаканская СОШ-591,84, Расцветская СОШ-295,92, Московская СОШ-591,84, В-Биджинская СОШ-591,84, Опытненская СОШ-295,92)       </t>
    </r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</si>
  <si>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- 7693,4,</t>
    </r>
    <r>
      <rPr>
        <sz val="14"/>
        <rFont val="Times New Roman"/>
        <family val="1"/>
        <charset val="204"/>
      </rPr>
      <t xml:space="preserve"> из них:оплата труда-7375,7, услуги связи-14,9, коммунальные услуги -138,5, услуги по сод.имущества - 37,7, прочие услуги-42,5, прочие расходы-0,5, приобретение основных средств- 33,4, приобретение мат.запасов-50,2.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 - 8129,2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труда-7671,6, услуги связи-10,9, коммунальные услуги -385,2, услуи по содержанию имущества-15,5, прочие услуги-46,0.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 - 12778,5,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труда-11715,2, услуги связи-14,0, коммунальные услуги-450,4, услуи по содержанию имущества-268,5, прочие услуги-61,2, прочие расходы-47,4, увеличение стоимости основных средств-59,7, увеличение стоимости материальных запасов-162,1.              </t>
    </r>
  </si>
  <si>
    <r>
      <rPr>
        <b/>
        <sz val="14"/>
        <rFont val="Times New Roman"/>
        <family val="1"/>
        <charset val="204"/>
      </rPr>
      <t>4.Создание условия для обеспечения современного качества образования - 1403,6,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^Ремонт освещения гаража ЦДО - 45,4;                                                                                                                                             ^Аккустика в актовый зал ЦДО - 81,6;                                                                                                                                              ^Орг.техника ЦДО - 214,2;                                                                                                                                                                         ^Учебная мебель ЦДО - 76,0;                                                                                                                                                                       ^Зап.части для картинга ЦДО - 120,1;                                                                                                                                                                            ^Монтаж эл.оборуд. ЦДО - 19,1;                                                                                                                                                                      ^Замена окон ЦДО - 843,7;                                                                                                                                                                                 ^Проверка качества огнезащитной обработки ЦДО - 3,5.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</si>
  <si>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</t>
    </r>
    <r>
      <rPr>
        <b/>
        <sz val="14"/>
        <rFont val="Times New Roman"/>
        <family val="1"/>
        <charset val="204"/>
      </rPr>
      <t>1.Создание условия для обеспечения современного качества образования - 83,5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^Конкурсы, праздники для школьников и дошкольников - 9,5;                                                                                                                                           ^Проезд победителя "Звезда спасения" - 7,5;                                                                                                                                              ^Поощрительные выплаты выпускникам-медалистам - 52,0;                                                                                                                          ^Награждение выпускников - 14,5.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</si>
  <si>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1.Обеспечение функционирования модели персонифицированного финансирования (МБУДО «Усть-Абаканский ЦДО» - 1952,3,</t>
    </r>
    <r>
      <rPr>
        <sz val="14"/>
        <rFont val="Times New Roman"/>
        <family val="1"/>
        <charset val="204"/>
      </rPr>
      <t xml:space="preserve"> из них: Субсидии на выполнения муниципального задания (из средств МБ) - оплата труда</t>
    </r>
  </si>
  <si>
    <r>
      <rPr>
        <b/>
        <sz val="14"/>
        <rFont val="Times New Roman"/>
        <family val="1"/>
        <charset val="204"/>
      </rPr>
      <t>Мероприятия, направленные на патриотическое воспитание граждан - 115,1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1."Юный зарничник" - 6,0;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- 3,0;                                                                                                                                                                3. "А, ну-ка, девушки" - 2,0;                                                                                                                                                                                        4. Военно-полевые сборы - 34,0;                                                                                                                                                                                     5. Районный фестваль-конкурс Воено-патриотической песни «Она звучит не умирая» (оформление, награждение) - 20,0;                                                                                                                                                                                                              6. "И помнит мир спасенный" - 5,0;                                                                                                                                                                                           7. "Георгиевская ленточка" - 6,0;                                                                                                                                                                                  8. "Я люблю тебя, Россия!" - 1,0;                                                                                                                                                                                      9. Районная дистанционная образовательная олимпиада "Герои ВОВ" - 2,0;                                                                                                                                                   10. "Юные таланты Отчизны" - 1,0;                                                                                                                                                                                                                                           11. Награждения на мероприятиях патриотической направленности - 16,0;                                                                                                                                                                                          12. "Зарница" - 1,0;                                                                                                                                                                                                                 13. "Туриада-2022" - 4,0;                                                                                                                                                                                                       14. Соревнования по картингу - 4,0;                                                                                                                                                                          15. Открытый районный турнир по скоростной сборке радиоаппаратуры - 1,0;                                                                                                                                                                                    16. Остаток на счете на конец квартала - 9,1                                                                                                                                                              </t>
    </r>
  </si>
  <si>
    <r>
      <t xml:space="preserve">2. Капитальный ремонт в муниципальных учреждениях, в том числе проектно-сметная документация - 2036,7 </t>
    </r>
    <r>
      <rPr>
        <sz val="14"/>
        <rFont val="Times New Roman"/>
        <family val="1"/>
        <charset val="204"/>
      </rPr>
      <t>Капитальный ремонт системы отопления спортзала МБУДО «Усть-Абаканская СШ».</t>
    </r>
  </si>
  <si>
    <r>
      <t xml:space="preserve">3. Создание условий для занятий физической культурой и спортом - 144,0 </t>
    </r>
    <r>
      <rPr>
        <sz val="14"/>
        <rFont val="Times New Roman"/>
        <family val="1"/>
        <charset val="204"/>
      </rPr>
      <t>Прокат ледового катка для занятий по хоккею с мячом.</t>
    </r>
  </si>
  <si>
    <r>
      <t xml:space="preserve">4.Укрепление материально-технической базы - 675,2,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1. Будо-маты - 331,2;                                                                                                                                                                                                      2. Мебель (столы) - 19,0;                                                                                                                                                                                                             3. Спортинвентарь (мячи, утяжелители, шлемы, перчатки, тренажеры, медецинболы) - 325,0.  </t>
    </r>
  </si>
  <si>
    <r>
      <t xml:space="preserve">2.Обеспечение развития отрасли физической культуры и спорта - </t>
    </r>
    <r>
      <rPr>
        <sz val="14"/>
        <rFont val="Times New Roman"/>
        <family val="1"/>
        <charset val="204"/>
      </rPr>
      <t>5662,6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(МБУДО "Усть-Абаканская СШ") - 2500,6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1. Заработная плата - 2002,7; 2. Начисления на выплаты по оплате труда - 497,9.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</si>
  <si>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5. Оказание адресной финансовой поддержки спортивным организациям, осуществляющим подготовку спортивного резерва -</t>
    </r>
    <r>
      <rPr>
        <sz val="14"/>
        <rFont val="Times New Roman"/>
        <family val="1"/>
        <charset val="204"/>
      </rPr>
      <t xml:space="preserve"> 306,1, из них:</t>
    </r>
    <r>
      <rPr>
        <b/>
        <sz val="14"/>
        <rFont val="Times New Roman"/>
        <family val="1"/>
        <charset val="204"/>
      </rPr>
      <t xml:space="preserve"> 6,1 (МБ), 300,0 (РХ),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1. Приобретение спортивного инвентаря - 259,5(РХ), 6,1(МБ);                                                                                                                                      2. Приобретение спортивной экипировки - 40,5.</t>
    </r>
  </si>
  <si>
    <r>
      <rPr>
        <b/>
        <sz val="14"/>
        <rFont val="Times New Roman"/>
        <family val="1"/>
        <charset val="204"/>
      </rPr>
      <t>3.Физкультурно-оздоровительная работа с различными категориями населения - 271,7,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«Лыжня России-2022» - 3,5;                                                                                                                                                                                      2. Первенство Усть-Абаканского района по мини-футболу - 5,5;                                                                                                                                    3. Проведение 1 этапа зимнего фестиваля ВФСК «Готов к труду и обороне» (ГТО) среди учащихся III-V ступени общеобразовательных учреждений У-Абаканского района - 4,8;                                                                                                                                           4. Турнир по хоккею с мячом на Кубок Главы Усть-Абаканского района среди мальчиков - 36,5;                                                                                                                  5. Турнир по хоккею с мячом на призы Заслуженного мастера спорта России Джусоева Алана среди мальчиков 2010-2011 гг.р. - 6,7;                                                                                                                                                                                     6. Фестиваль по волейболу - 2,94;                                                                                                                                                                                                            7. Первенство Усть-Абаканского района по волейболу - 4,92;                                                                                                                               8. Первенство по Мини-футболу - 6,3;                                                                                                                                                           9. Спортивные мероприятия, посвященные празднованию Дню Защиты детей - 10,0;                                                                                                                                                10. Первенство Усть-Абаканского района по русской лапте, посвященное Дню России - 1,8;                                                                                                              11. Спартакиада ВФСК «Готов к труду и обороне» (ГТО) - 12,14;                                                                                                                                            12. Соревнования «Рекорды ГТО» в рамках акции «Лето с ГТО» - 4,8;                                                                                                                                                   13. Открытый турнир по настольному теннису, посвященного Всероссийскому дню настольного тенниса - 1,8;                                                                                                                                                                                                                          14. Открытый турнир по всестиливому каратэ «Кубок Победы» - 10,0;                                                                                                                                      15. Муниципальный этап республиканских соревнований «Школьная спортивная лига Хакасии» - 10,8;                                                                                                              16. Лично-командное первенство спортивной школы по русским шашкам среди дошкольников - 1,8; </t>
    </r>
  </si>
  <si>
    <t xml:space="preserve">32. Проведение XV-й Спартакиады Усть-Абаканского района, посвященной Победе советского народа в ВОВ - 27,5;                                                                                                                                                                                                                      Остаток на счете  - 8,0.     </t>
  </si>
  <si>
    <r>
      <rPr>
        <b/>
        <sz val="14"/>
        <rFont val="Times New Roman"/>
        <family val="1"/>
        <charset val="204"/>
      </rPr>
      <t xml:space="preserve">2. Содействие формирования туристической инфраструктуры и материально-технической базы - </t>
    </r>
    <r>
      <rPr>
        <sz val="14"/>
        <rFont val="Times New Roman"/>
        <family val="1"/>
        <charset val="204"/>
      </rPr>
      <t>1148,4,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 Укрепление материально-технической базы </t>
    </r>
    <r>
      <rPr>
        <sz val="14"/>
        <rFont val="Times New Roman"/>
        <family val="1"/>
        <charset val="204"/>
      </rPr>
      <t xml:space="preserve">(Стол и лавка из массива дерева) </t>
    </r>
    <r>
      <rPr>
        <b/>
        <sz val="14"/>
        <rFont val="Times New Roman"/>
        <family val="1"/>
        <charset val="204"/>
      </rPr>
      <t>- 128,0;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 Укрепление материально-технической базы муниципальных учреждений в сфере культуры - 20,4 (МБ); 1000,00 (РХ).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Беседка деревянная с крышей - 600,0; 2. Интерактивный стол LigaSmart IT 55(ОПТИМА) - 420,4.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</si>
  <si>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3. Организация, координация туристической деятельности и продвижения туристического продукта - 29,5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1. «День открытых дверей» в рамках прразднования всемирного дня музев в МАУК «музей «Салбык»-29,5 (Услуги шамана-13,2, проведение обряда кормления огня-3,0, дегустация напитка «Хан-чай»-2,8, мастер-класс изготовления талгана - 9,8, средства гигиены - 0,7).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</si>
  <si>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- 631,8</t>
    </r>
    <r>
      <rPr>
        <sz val="14"/>
        <rFont val="Times New Roman"/>
        <family val="1"/>
        <charset val="204"/>
      </rPr>
      <t>, в том числе: 1. Оплата труда - 374,8; 2. Начисления на выплаты по оплате труда - 103,0; 3.Услуги по содержанию имущества - 0,8; 4.Увеличение стоимости проч.расходов - 30,4; 5. Страхование ТС - 6,2; 6. Увеличение стоимости ОС - 8,9; 7. Увеличение стоимости ГСМ - 82,8; 8. Увеличение стоимости строй материалов - 6,0; 9. Увеличение стоимости прочих мат.запасов - 7,4; 10. Прочие расходы - 3,7; 11. Остаток на счете - 7,8.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</si>
  <si>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-7938,1: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заработная плата – 5456,6; начисления на выплаты по оплате труда – 1631,1; услуги связи – 59,4; работы, услуги по содержанию имущества – 42,3; прочие работы, услуги – 439,4; страхование - 5,5; увеличение стоимости основных средств – 273,4; увеличение стоимости материальных запасов – 29,6; прочие расходы – 0,8.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</si>
  <si>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- 56929,3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- 56127,1;                                                                   ^Иные межбюджетные трансферты на поддержку мер по обеспечению сбалансированности бюджетов поселений - 802,2.     </t>
    </r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</si>
  <si>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- 716,5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- 323,6 (РХ)      </t>
    </r>
  </si>
  <si>
    <t>^Осуществление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- 15,0 (РХ)</t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</si>
  <si>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- 377,9 (РХ).    </t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</si>
  <si>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- 4708,9,</t>
    </r>
    <r>
      <rPr>
        <sz val="14"/>
        <rFont val="Times New Roman"/>
        <family val="1"/>
        <charset val="204"/>
      </rPr>
      <t xml:space="preserve"> в том числе: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 xml:space="preserve">Обеспечение деятельности подведомственных учреждений (обеспечение деятельности МКУ "Усть-Абаканская районная правовая служба",  в том числе: заработная плата - 3525,1; начисления на выплаты по оплате труда – 876,7; командировочные расходы - 50,8; услуги связи – 42,4; работы, услуги по содержанию имущества – 2,9; прочие работы, услуги – 138,8; увеличение стоимости основных средств - 3,2; увеличение стоимости материальных запасов – 67,8; уплата прочих налогов - 1,2. </t>
    </r>
  </si>
  <si>
    <r>
      <t xml:space="preserve">5. Повышение эффективности деятельности органов местного самоуправления - </t>
    </r>
    <r>
      <rPr>
        <sz val="14"/>
        <rFont val="Times New Roman"/>
        <family val="1"/>
        <charset val="204"/>
      </rPr>
      <t xml:space="preserve">56,9, из них </t>
    </r>
    <r>
      <rPr>
        <b/>
        <sz val="14"/>
        <rFont val="Times New Roman"/>
        <family val="1"/>
        <charset val="204"/>
      </rPr>
      <t xml:space="preserve">55,7 (РХ), 1,2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20 человек, в том числе: администрация - 11чел. (33,0), УЖКХ - 2чел. (6,5), УФиЭ - 1 чел. (2,5), УИО - 4чел. (10,0), УЗ - 2чел. (4,9).</t>
    </r>
  </si>
  <si>
    <r>
      <rPr>
        <b/>
        <sz val="14"/>
        <color theme="1"/>
        <rFont val="Times New Roman"/>
        <family val="1"/>
        <charset val="204"/>
      </rPr>
      <t>Мероприятия по профилактике злоупотребления наркотиками и их незаконного оборота</t>
    </r>
    <r>
      <rPr>
        <sz val="14"/>
        <color theme="1"/>
        <rFont val="Times New Roman"/>
        <family val="1"/>
        <charset val="204"/>
      </rPr>
      <t xml:space="preserve"> -</t>
    </r>
    <r>
      <rPr>
        <b/>
        <sz val="14"/>
        <color theme="1"/>
        <rFont val="Times New Roman"/>
        <family val="1"/>
        <charset val="204"/>
      </rPr>
      <t xml:space="preserve"> 6,1,</t>
    </r>
    <r>
      <rPr>
        <sz val="14"/>
        <color theme="1"/>
        <rFont val="Times New Roman"/>
        <family val="1"/>
        <charset val="204"/>
      </rPr>
      <t xml:space="preserve"> из них:                                                  </t>
    </r>
    <r>
      <rPr>
        <sz val="14"/>
        <rFont val="Times New Roman"/>
        <family val="1"/>
        <charset val="204"/>
      </rPr>
      <t>^Мероприятия по профилактике асоциального поведения несовершеннолетних - 0,1 (КЗ 2021г за ГСМ);                                              ^В июне прошла районная антинаркотическая акция «Жизнь без наркотиков» в рамках проекта «Усть-Абаканский район без наркотиков» с охватом 786 человек. Приобретены призы (спортивный инвентарь) - 3,0;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^В течении апреля на территориях с.Московское, с.Калинино, аал Райков и п.Усть-Абакан была проведена акция «Здоровая Россия-общее дело», в рамках акции проведено 8 мероприятий, участвовало 21 команда (200 человек). Приобретены медали для победителей и призеров) - 3,0.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</si>
  <si>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 Мероприятия по поддержке и развитию культуры, искусства и архивного дела - 1270,6,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художественного чтения и творчества поэтов любителей «Несу Родину в душе» - 18,0;                                                                                                                                                                                               2. Ремонт кабинета ДК Гагарино - 559,25;                                                                                                                                                             3. Концертная программа, посвященная международному женскому дню 8 марта 2022 г. - 15,4;                                                                                4. Праздник «Масленница Великая» - 15,0;                                                                                                                                                                                                5. Игровая программа, посвященная 23 февраля - 7,5;                                                                                                                                          6. Концертная программа «Женское счастье» - 10,0;                                                                                                                                                           7. День работника ЖКХ - 26,4;                                                                                                                                                                                      8. День работника культуры - 15,0;                                                                                                                                                                                              9. Районный конкурс к международному женскому дню «Маленькая мисс 2022» - 12,0;                                                                                                        10. Орг.взнос за участие в фестивале «Созвездие улыбок» - 7,4;                                                                                                                           11. Онлайн-проект «Звездные семьи Усть-Абаканского района» - 1,0;                                                                                                                                   12. Участие в семинаре работников культуры - 11,25;                                                                                                                                        13. Участие в Международном фестивале-конкурсе «Алтайская легенда» Образцовой хореографической студии «Радуга» - 24,4;                                                                                                                                                                                                                      14. Районный конкурс «Здоровым быть модно» - 8,3;                                                                                                                                                            15. Акция по пропаганде ЗОЖ «День здоровья» - 10,34;                                                                                                                                             16. Тематическая выставка «Нам жить и помнить» - 5,75;                                                                                                                                                 17. Акция открытый микрофон - 14,35;                                                                                                                                                                               18. Мероприятия, посвященные 77-й годовщине ВОВ - 271,16;                                                                                                                                                              19. Торжественный концерт «Минувших лет святая память» - 20,2;                                                                                                                                                     </t>
    </r>
  </si>
  <si>
    <t>20. Концерт, посвященный Дню местного самоуправления» - 71,2;                                                                                                                                                 21. Конкурс художественного чтения среди детей «Поэтическая весна» - 8,1;                                                                                                                         22. Юбилейный концерт Народного хора ветеранов «Жизнь как песня: задорная русская!» - 45,1;                                                                                                                    23. Проведение мероприятия «Российский азимут-2022» - 9,4;                                                                                                                                                         24. Концерт «Сердце моё Россия» - 11,4;                                                                                                                                                                                                         25. Онлайн-конкурс «Звонкое чудо-частушка» - 6,0;                                                                                                                                                                       26. Мероприятие, посвященное Дню медицинского работника - 49,6;                                                                                                                       27. Остаток на счете - 17,1.</t>
  </si>
  <si>
    <r>
      <rPr>
        <b/>
        <sz val="14"/>
        <rFont val="Times New Roman"/>
        <family val="1"/>
        <charset val="204"/>
      </rPr>
      <t xml:space="preserve">4.Укрепление материально-технической базы - 1040,4,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1. Карта памяти, видеокамера, штатив, планшет -244,1;                                                                                                                                                       2. Диваны, стулья, табуреты, столы, зеркала - 213,6;                                                                                                                                                             3. Приобретение компьютера в сборе, МФУ - 147,4;                                                                                                                                   4. Стеллажи, комп.техника (РДК) - 435,3.</t>
    </r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</si>
  <si>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- 9275,0,</t>
    </r>
    <r>
      <rPr>
        <sz val="14"/>
        <rFont val="Times New Roman"/>
        <family val="1"/>
        <charset val="204"/>
      </rPr>
      <t xml:space="preserve"> в том числе: 1. Заработная плата - 5853,2; 2. Начисления на выплаты по оплате труда - 1454,9; 3. Услуги связи - 55,8; 4.Коммунальные услуги - 1014,2; 5. Работы, услуги по содержанию имущества - 194,8; 6. Прочие работы, услуги - 180,5; 7. Увеличение стоимости основных средств - 71,0; 8. Увеличение стоимости ГСМ - 169,6; 9.Увеличение стоимости строит.материалов - 16,8; 10. Увеличение стоимости прочих оборотных запасов - 113,8 (канц. и хоз.товары); 11.Прочие расходы -150,4.                                                                                                                                                                   </t>
    </r>
  </si>
  <si>
    <r>
      <t xml:space="preserve">Совершенствование библиотечной деятельности </t>
    </r>
    <r>
      <rPr>
        <sz val="14"/>
        <rFont val="Times New Roman"/>
        <family val="1"/>
        <charset val="204"/>
      </rPr>
      <t xml:space="preserve">- 15043,0, из них: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1.Обеспечение деятельности подведомственных учреждений (МБУК «Усть-Абаканская ЦБС») - 13398,5</t>
    </r>
    <r>
      <rPr>
        <sz val="14"/>
        <rFont val="Times New Roman"/>
        <family val="1"/>
        <charset val="204"/>
      </rPr>
      <t>, в том числе: 1. Заработная плата - 9890,0; 2. Начисления на выплаты по оплате труда - 2486,2; 3. Услуги связи - 95,9; 4. Коммунальные услуги - 627,6; 5. Услуги по содержанию имущества - 81,2 (тех.обслуж.пож.сигн., приборов учета тепловой энергии, электротех.обслуж.); 6. Прочие работы, услуги - 140,3 (услуги по охране); 7.  Увеличение стоимости прочих оборотных запасов (материалов) - 43,5 (хоз.товары); 9. Увеличение стоимости основных средств - 3,2; Приобретение угля - 30,6.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</t>
    </r>
  </si>
  <si>
    <r>
      <t xml:space="preserve">3. Обеспечение услугами связи в части предоставления широкополосного доступа к сети «Интернет» социально значимых объектов муниципальных образований - 192,1, из них 3,8 (МБ), 188,3 (РХ) </t>
    </r>
    <r>
      <rPr>
        <sz val="14"/>
        <rFont val="Times New Roman"/>
        <family val="1"/>
        <charset val="204"/>
      </rPr>
      <t>Предоставление широкополостного доступа к сети интернет 13-ти филиалам МБУК «Усть-Абаканская ЦБС».</t>
    </r>
  </si>
  <si>
    <r>
      <t xml:space="preserve">Сохранение культурных ценностей </t>
    </r>
    <r>
      <rPr>
        <sz val="14"/>
        <rFont val="Times New Roman"/>
        <family val="1"/>
        <charset val="204"/>
      </rPr>
      <t>- 3967,1</t>
    </r>
    <r>
      <rPr>
        <b/>
        <sz val="14"/>
        <rFont val="Times New Roman"/>
        <family val="1"/>
        <charset val="204"/>
      </rPr>
      <t xml:space="preserve">:
1.Обеспечение деятельности подведомственных учреждений МБУК «Усть-Абаканский районный историко-краеведческий музей» - 1922,8, </t>
    </r>
    <r>
      <rPr>
        <sz val="14"/>
        <rFont val="Times New Roman"/>
        <family val="1"/>
        <charset val="204"/>
      </rPr>
      <t xml:space="preserve">в том числе: 1. Заработная плата -  900,6; 2. Начисления на выплаты по оплате труда - 245,2; 3. Услуги связи - 15,2; 4.Коммунальные услуги - 156,0; 5. Услуги по содержанию имущества - 113,3; 6. Прочие работы, услуги - 86,7; 7. Страхование - 26,0;  8.Увеличение стоимости прочих оборотных запасов (материалов) - 55,5 (хоз.товары, канц.товары); 9. Увеличение стоимости ГСМ - 72,1; 10 Увеличение стоимости строительных материалов - 31,8; 11. Увеличение стоимости медикаментов и перевязочных средств - 0,8 (аптечка автомобильная); 12. Прочие расходы - 85,3 (налоги, пени); 13. Увеличение стоимости основных средств - 134,3.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</si>
  <si>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19. Приобретение сувениров для участников автопробега - 12,0;                                                                                                                       20. Конкурс на лучшую эмблему (логотип) Усть-Абаканского музея - 1,0;                                                                                                                   21. Ночь музеев - 1,98;                                                                                                                                                                                      22. Салют, посвященный Дню Победы в ВОВ-400,0;                                                                                                                                                                               23. Мастер-класс по изготовлению мыльных пузырей, - 0,55;                                                                                                                                                              24. Мероприятия, посвященные Дню России - 4,8;                                                                                                                                                                               25. Конкурс рисунков и акция , приуроченные ко Дню защиты детей 1 июня 2022 г. - 5,85;                                                                                                                26. Мастер-класс по изготовлению поделки «Солнышко в интерьере» - 0,6;                                                                                                                             27. Оформление фотовыставки, посвященной истории районной больницы - 5,6;                                                                                                                                          28. Проведение митинга, посвященного Дню памяти и скорби с возложением цветов к Могиле Неизвестного солдата - 20,0;                                                                                                                                                                                                 29. Приобретение стендов - 7,2;                                                                                                                                                                             30. Оформление фотовыставок, посвященных юбилею Пожарной охраны - 10,4;                                                                                                                     30. Проведение мероприятий, посвященных победе в ВОВ - 373,0;                                                                                                                              31. Подключение «Вечного огня» для проведения праздничных мероприятий - 5,1;                                                                                                                                          32. Приобретение одноразовой посуды для проведения акции «Полевая кухня» - 6,6;                                                                                                    33. Приобретение подаркам ветеранам и труженникам тыла - 7,6;                                                                                                                                        34. Районный конкурс среди детей и подростков «Наша Победа» - 4,4;                                                                                                                                 35. Квест «Наша Победа» - 7,4;                                                                                                                                                                                 36. Остаток на счете - 46,32.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</si>
  <si>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3. Обеспечение безопасности музейного фонда и развитие музеев - 151,0,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Мероприятие «Чыл-Пазы» - 29,5 (проведение обряда, оформление);                                                                                                                              2. Приобретение национального костюма (платье женское, сигидек, гол.убор) - 25,0;                                                                                             3. Ветровки с символикой - 15,0;                                                                                                                                                                             4. Дезинсекция (клещи) - 70,3;                                                                                                                                                                                       5. Опашка территории - 11,2.</t>
    </r>
  </si>
  <si>
    <r>
      <t xml:space="preserve">4.Капитальный ремонт в муниципальных учреждениях, в том числе проектно-сметная документация - 44,8,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1. Проверка ПСД на кап.ремонт.здания музея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</si>
  <si>
    <r>
      <rPr>
        <b/>
        <sz val="14"/>
        <rFont val="Times New Roman"/>
        <family val="1"/>
        <charset val="204"/>
      </rPr>
      <t>Поддержка одаренных детей и молодежи: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- 227,7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Приобретение музыкальных инструментов: гусли, малый барабан - 18,8;                                                                                                                                 2. Народные костюмы для мальчиков и девочек - 141,0;                                                                                                                           3. Туфли народные черные, сапоги народные - 67,9.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</si>
  <si>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1.Мероприятия в сфере развития и гармонизации межнациональных отношений - 200,6:  </t>
    </r>
    <r>
      <rPr>
        <sz val="14"/>
        <rFont val="Times New Roman"/>
        <family val="1"/>
        <charset val="204"/>
      </rPr>
      <t xml:space="preserve">                                                                               1. Республиканское мероприятие Хакасского нового года «Чыл-Пазы» - 48,45;                                                                                                 2. Литература о народах России - 15,0;                                                                                                                                                          3. Поездка ансамбля Добро в г.Красноярск - 22,0;                                                                                                                                                                      4. Республиканский праздник Тун Пайрам - 103,05;                                                                                                                                            5. Остаток на счете - 12,1.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</si>
  <si>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- 733,5,</t>
    </r>
    <r>
      <rPr>
        <sz val="14"/>
        <rFont val="Times New Roman"/>
        <family val="1"/>
        <charset val="204"/>
      </rPr>
      <t xml:space="preserve"> в том числе: 1. Заработная плата - 532,9;  2. Начисления на выплаты по оплате труда - 153,48; 3. Услуги связи - 11,4;  4. Услуги по содержанию имущества - 0,8 (заправка картриджа); 5.Прочие работы, услуги - 11,0;  6.Увеличение стоимости основных средств - 16,1; 7.Увеличение стоимости прочих оборотных запасов - 7,52 (канцтовары); 8.Прочие расходы - 0,3 (пени). </t>
    </r>
  </si>
  <si>
    <r>
      <rPr>
        <b/>
        <sz val="14"/>
        <rFont val="Times New Roman"/>
        <family val="1"/>
        <charset val="204"/>
      </rPr>
      <t xml:space="preserve">2. Мероприятия в области молодежной политики - 162,5,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 Встреча студенческой молодежи с Главой района - 2,5;                                                                                                                                  2. Районный видео-конкурс «История моего села во время ВОВ» - 4,9 (блокадный хлеб);                                                            3. Квиз ко Дню молодежи «Не вопрос» - 6,4;                                                                                                                                                                        4. Районный конкурс «Молодежная инициатива 2022» (стройматериалы) - 37,0;                                                                                                                       5. Фестиваль «Молодежный креатив» - 14,9;                                                                                                                                                             6. Грант Главы Усть-Абаканского района - 50,0;                                                                                                                                                 7. Районная акция «Экологическая неделя» - 10,0;                                                                                                                                             8. Квест «Энергия молодых в здоровое русло» - 1,9;                                                                                                                                                            9.Акции посвященные празднованию 9 мая - 25,4;                                                                                                                                                            10. Квиз «По следам предков» - 4,8;                                                                                                                                                                                     11. Акция «Оберегаем детство» - 4,7.                                                                                                                      </t>
    </r>
  </si>
  <si>
    <r>
      <t xml:space="preserve">1.Осуществление государственных полномочий по организации и осуществлению деятельности по опеке и попечительству - 3279,4 (РХ): 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респуб.бюджета на оплату труда - 2999,9, услуги связи - 82,3, коммунальные услуги - 29,6, услуги по содержанию имущества - 27,9, прочие услуги - 73,3, приобретение мат.запасов - 66,4.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- 18870,5 (РХ),</t>
    </r>
    <r>
      <rPr>
        <sz val="14"/>
        <rFont val="Times New Roman"/>
        <family val="1"/>
        <charset val="204"/>
      </rPr>
      <t xml:space="preserve"> в том числе: Опекунское пособие на 291 ребенка - 11224,1; вознаграждение приемным семьям 50 чел. - 7646,4.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</t>
    </r>
    <r>
      <rPr>
        <sz val="14"/>
        <rFont val="Times New Roman"/>
        <family val="1"/>
        <charset val="204"/>
      </rPr>
      <t xml:space="preserve">25590,0, в том числе: </t>
    </r>
    <r>
      <rPr>
        <b/>
        <sz val="14"/>
        <rFont val="Times New Roman"/>
        <family val="1"/>
        <charset val="204"/>
      </rPr>
      <t xml:space="preserve">16194,0 (РХ), 9396,0 (ФБ) </t>
    </r>
    <r>
      <rPr>
        <sz val="14"/>
        <rFont val="Times New Roman"/>
        <family val="1"/>
        <charset val="204"/>
      </rPr>
      <t>Приобретены 10 квартир для лиц из числа детей-сирот и детей, оставшихся без попечения родителей, общей площадью 382,7 кв.м..</t>
    </r>
  </si>
  <si>
    <r>
      <t>1.Обеспечение деятельности подведомственных учреждений (муниципальное автономное учреждение «Усть-Абаканский загородный лагерь Дружба» - 1169,0</t>
    </r>
    <r>
      <rPr>
        <sz val="14"/>
        <rFont val="Times New Roman"/>
        <family val="1"/>
        <charset val="204"/>
      </rPr>
      <t xml:space="preserve">, Субсидии на выполнения муниципального задания из средств МБ: оплата труда - 955,3,  коммунальные услуги - 51,9, прочие услуги - 7,9, прочие расходы - 57,5, приобретение мат.запасов - 96,4.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 xml:space="preserve">Капитальный ремонт, в муниципальных учреждениях, т.ч. разработка ПСД - 33,7 </t>
    </r>
    <r>
      <rPr>
        <sz val="14"/>
        <rFont val="Times New Roman"/>
        <family val="1"/>
        <charset val="204"/>
      </rPr>
      <t>Проверка сметной документации на капитальный ремонт МАУ "ЗЛ "Дружба"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</t>
    </r>
    <r>
      <rPr>
        <b/>
        <sz val="14"/>
        <rFont val="Times New Roman"/>
        <family val="1"/>
        <charset val="204"/>
      </rPr>
      <t>3.Мероприятия по организации отдыха, оздоровления и занятости несовершеннолетних - 2696,1,</t>
    </r>
    <r>
      <rPr>
        <sz val="14"/>
        <rFont val="Times New Roman"/>
        <family val="1"/>
        <charset val="204"/>
      </rPr>
      <t xml:space="preserve"> из них: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^Приобретение облучателей, мебели и мягкого инвентаря зл Дружба - 2452,3;                                                                                                                        ^Организация временного трудоустройства несовершеннолетних граждан в свободное от учебы время (в том числе состоящие на учете в КДН) - 7 учр. (23 реб.) - 141,6;                                                                                                                          ^Трудовой отряд "СУЭК" оплата труда несовершеннолетних МБОУ "Усть-Абаканская СОШ" (10 чел.) - 86,2;                                                                                                                                                                                                                                         ^Приобретение формы трудового отряда - 16,0.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</si>
  <si>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1. Социальные выплаты гражданам, в соответствии с действующим законодательством - </t>
    </r>
    <r>
      <rPr>
        <sz val="14"/>
        <rFont val="Times New Roman"/>
        <family val="1"/>
        <charset val="204"/>
      </rPr>
      <t>3252,1, из них:</t>
    </r>
    <r>
      <rPr>
        <b/>
        <sz val="14"/>
        <rFont val="Times New Roman"/>
        <family val="1"/>
        <charset val="204"/>
      </rPr>
      <t xml:space="preserve"> 2953,7 (МБ), 298,4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^Доплаты к пенсиям муниципальным служащим - 2742,3;                                                                                                                                                  ^Оказание материальной помощи малообеспеченным категориям населения  (4 чел.) - 50,0;                                                                                                                 ^Обеспечение мер социальной поддержки специалистов культуры, проживающих в сельской местности (компенсация за комунальные услуги специалистам культуры вышедшим на пенсию, проживающим и работающим  в сельской местности) - 11,4;                                                                                                                                                                ^Оказание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- 150,0 (9 чел.);                                                                                                                                                                             ^Осуществление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 - 298,4 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2.Осуществление государственных полномочий по выплатам гражданам, имеющим детей -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2753,7 (РХ) ^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</si>
  <si>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rPr>
        <b/>
        <sz val="14"/>
        <rFont val="Times New Roman"/>
        <family val="1"/>
        <charset val="204"/>
      </rPr>
      <t xml:space="preserve">Укрепление безопасности и общественного порядка в Усть-Абаканском районе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</si>
  <si>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Мероприятия по профилактике безнадзорности и правонарушений несовершеннолетних - 2,0, </t>
    </r>
    <r>
      <rPr>
        <sz val="14"/>
        <rFont val="Times New Roman"/>
        <family val="1"/>
        <charset val="204"/>
      </rPr>
      <t xml:space="preserve">ГСМ для проведения рейдовых мероприятий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</si>
  <si>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Мероприятия по профилактике терроризма и экстремизма - 3,0 </t>
    </r>
    <r>
      <rPr>
        <sz val="14"/>
        <rFont val="Times New Roman"/>
        <family val="1"/>
        <charset val="204"/>
      </rPr>
      <t>Изготовление  памяток с тематикой  по профилактике террористической и экстремистской деятельности</t>
    </r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</si>
  <si>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- 1,9,</t>
    </r>
    <r>
      <rPr>
        <sz val="14"/>
        <rFont val="Times New Roman"/>
        <family val="1"/>
        <charset val="204"/>
      </rPr>
      <t xml:space="preserve"> ГСМ для проведения рейдовых мероприятий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</si>
  <si>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1.1. Субсидии муниципальным казенным предприятиям на финансовое обеспечение затрат для выполнения работ, оказания услуг в рамках осуществления уставной деятельности </t>
    </r>
    <r>
      <rPr>
        <sz val="14"/>
        <rFont val="Times New Roman"/>
        <family val="1"/>
        <charset val="204"/>
      </rPr>
      <t>Обследование тепловых сетей, установка видеонаблюдения в котельных, установка приборов учета (Выполнение работ планируется в третьем квартале 2022).</t>
    </r>
  </si>
  <si>
    <r>
      <t xml:space="preserve">1.3.Поддержка и развитие систем коммунального комплекса:                                                                     </t>
    </r>
    <r>
      <rPr>
        <sz val="14"/>
        <rFont val="Times New Roman"/>
        <family val="1"/>
        <charset val="204"/>
      </rPr>
      <t xml:space="preserve">           ^Капитальный ремонт систем теплоснабжения Вершино-Биджинского сельсовета, приобретение оборудования (Работы ведутся.  Оплата будет произведена в третьем квартале 2022 года);                                                                                                        ^Модернизация системы теплоснабжения Расцветовского сельсовета ( в то м числе разработка ПСД, государственная экспертиза ПСД, реконструкция тепловых сетей) (Выполнение работ планируется  в третьем квартале 2022 года);                                                                                                                                                                                                     ^Разработка ПСД и проведение государственной экспертизы на предмет проверки достоверности определения сметной стоимости на строительство системы водоснабжения с. Зелёное (Оплата будет произведена в третьем квартале 2022 года.)                            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</si>
  <si>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- 5196,1,</t>
    </r>
    <r>
      <rPr>
        <sz val="14"/>
        <color theme="1"/>
        <rFont val="Times New Roman"/>
        <family val="1"/>
        <charset val="204"/>
      </rPr>
      <t xml:space="preserve"> в том числе: заработная плата - 3631,2; социальные пособия и компенсации персоналу - 28,8; страховые взносы - 1005,2; услуги связи - 49,2; коммунальные услуги - 105,6; работы, услуги по содержанию имущества - 41,0; прочие работы, услуги - 135,7; увеличение стоимости основных средств - 61,3; увеличение стоимости мат.запасов - 137,1; прочие налоги и сборы - 1,0.</t>
    </r>
  </si>
  <si>
    <r>
      <rPr>
        <b/>
        <sz val="14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- 455,4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(Росток-20,0, В-Биджинская СОШ-17,4, Райковская СОШ-19,4) - 56,8;                                                                                                                                                                                                                                                                                                   ^ПСД на кап.ремонт (Весенненская СОШ) - 398,6.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</si>
  <si>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2.Мероприятия по поддержке и развитию культуры, искусства и архивного дела - 1848,6:                                                       </t>
    </r>
    <r>
      <rPr>
        <sz val="14"/>
        <rFont val="Times New Roman"/>
        <family val="1"/>
        <charset val="204"/>
      </rPr>
      <t xml:space="preserve">1. Конкурс «Новогодняя сказка» - 2,7;                                                                                                                                                                                      2. Мероприятие «Этот старый Новый год» - 3,3;                                                                                                                                                             3. Фотоконкурс «Креативная Елка-2022» - 5,0;                                                                                                                                                                  4.Конкурс детских рисунков «Дед Мороз и Снегурочка» - 4,8;                                                                                                                              5. Онлайн-тест «Блокада Ленинграда» - 1,65;                                                                                                                                                                                6. Онлайн-конкурс видеопоздравлений, посвященный Татьяниному Дню - 1,65;                                                                                                                        7. Укрепление МТБ (МФУ струйный, садовый измельчитель, мойка) - 296,2;                                                                                                                                                                                  8. Мероприятие, посвященное памяти о росссиянах, исполнявщших служебный долг за пределами Отечества - 7,0;                                                                                                                                                                                                                                              9. Мероприятие, посвященное 303 годовщине вывода войск из Афганистана - 7,5;                                                                                                                                                                                                                         10. Районный конкурс «Подарок к 8 марта» - 3,25;                                                                                                                                                                                                                                11. Мероприятие «Наша масленница широка и весела» - 2,95;                                                                                                                  12. Приобретение сенсорного стола - 314,0;                                                                                                                                                       13. День космонавтики - 4,9;                                                                                                                                                                                                            14. Изготовление трибуны к 9 мая - 120,0;                                                                                                                                                                                 15. Возложение цветов к могиле Неизвестного солдата в рамках проведения Республиканского автопробега - 34,0;                                                                                                                                                                                                                    16.Приобретение принтера - 100,0;                                                                                                                                                                          17.Оформление мемориала к 9 мая (флаги) - 14,3;                                                                                                                                                              18. Оформление клумбы «Звезда» - 5,0;                                                                                                                                                                                     </t>
    </r>
  </si>
  <si>
    <r>
      <t>2.Мероприятия по поддержке и развитию культуры, искусства и архивного дела - 1264,3,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1. Приобретение стеллажей - 168,6;                                                                                                                                                                         2. Изготовление дизайн-проекта В-Биджинской библиотеки - 300,0;                                                                                                                          3. Открытие центра доступа в Весенненской библиотеке (приобретение мониторов, МФУ) - 100,8;                                                                     4. Повышение проф.уровня библиотечных работников - 30,5;                                                                                                                                   5. Приобретение биб.техники - 20,0;                                                                                                                                                                            6. Подключение лицензии ЛитРес- 35,0;                                                                                                                                                                       7. Комплектование литературой - 445,0;                                                                                                                                                                                        8. Приобретение сист.блоков, столов, стульев, муз.центра - 136,45;                                                                                                                                                                                                             9. Проведение мероприятий, направленных на популяризацию чтения в Усть-Абаканском районе - 10,2 (Открытие недели детской и юношеской книги «Книжный карнавал» - 2,4, конкурс работа клубов по интересам «Библиотечный меридиан» - 1,6, Чемпионат по чтению вслух среди старшеклассников «Страница 22» - 1,0, День открытых дверей - 5,2);                                                                                                                                                                                                                                                                                10. Летняя программа чтение - 1,9;                                                                                                                                                                                                                                                                                11. Юбилей в кругу друзей 45 лет библиотеки п.Тепличный - 8,1;                                                                                                                                                                                 12. Формирование 19 детских кружков по интересам в летний период - 5,0;                                                                                                                       13. Проведение праздника «Маленькие дети на большой планете - 2,0;                                                                                                                        14. Интеллектуальная игра «Чемпионат читателей» - 0,75.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</si>
  <si>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- 270,0: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1. Конкурс рисунков ко Дню защитника Отечества - 14,2;                                                                                                                                  2. Выставка-конкурс мастеров ДПТ «Волшебные нити» - 7,0;                                                                                                                      3. Районный конкурс ДПИ «Броня крепка и танки наши быстры» - 5,0;                                                                                                                     4. Конкурс для девочек «На балу у Золушки» - 10,0;                                                                                                                                                  5. Районный фестиваль работников культуры «Звезда культуры» - 30,0;                                                                                                                                                                  6. Выставка-конкурс ДПТ «Мир спичек» - 4,0;                                                                                                                                                              7. Районный фотоконкурс «Что такое счастье» - 2,1;                                                                                                                                                 8. Районный фотоконкурс «Женщины могут все» - 5,4;                                                                                                                                       9. Конкурс ДПИ кукла в национальном костюме - 6,6;                                                                                                                                                                                                                                                                                               10. Мероприятия в рамках проекта «Лето, солнце, 100 фантазий» - 15,0;                                                                                                                                   11. Проект «Вышитая карта Хакасии» - 2,7;                                                                                                                                                                           12. Конкурс художественного чтения «Поэтическая весна» - 8,1;                                                                                                                                          13. Мероприятия, посвященные Дню России в поселениях - 11,5;                                                                                                                                      14. Онлайн-проект «Звездные семьи Усть-Абаканского района» - 0,9;                                                                                                                                                 15. Проведение концерта для выпускников Усть-Абаканского района - 29,3;                                                                                                                              16. Праздничный концерт, посвященный 90-летию Пожарной охраны - 20,4;                                                                                                       17. Районный праздник Чир-Ине - 12,5;                                                                                                                                                            18. Участие в Межрегиональном конкурсе русского танца» Сибирское раздолье» - 5,0;                                                                                                    19.Проведение выездных мероприятий в сельских поселениях района - 1,6;                                                                                                                              </t>
    </r>
  </si>
  <si>
    <t xml:space="preserve">20. Пошив костюмов творческим коллективам для участия в фестивале КИТ - 25,2;                                                                                                         21. Выставка-конкурс ДПИ Пасхальное чудо - 8,0;                                                                                                                                                         22. Участие в Межрегиональном конкурсе-фестивале Вокального мастерства  (орг.взнос) - 3,0;                                                                                           23. Участие в Международном разножанровом фестивале Вокального мастерства КИТ  (орг.взнос) - 11,8;                                                                                24. Районный конкурс детского и юношеского творчества «Надежда нации» - 29,7;                                                                                                       25. Участие в конкурсе «И Песня ковала Победу» (оргвзнос) - 1,0.                                                                                                                                                  </t>
  </si>
  <si>
    <r>
      <t>1.Проведение спортивных мероприятий, обеспечение подготовки команд - 95,3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1. Первенство СФО по боксу среди девушек (15-16 лет) г.Кемерово - 13,6;                                                                                                        2. Первенство СФО по боксу среди юниорок (17-18 лет) и девочек (13-14 лет) г.Кемерово - 6,6;                                                                                              3. Участие в VI турнире по мини-хоккею с мячом «Ледова дружина» среди детей 2012 г.р. и младше г.Красноярск - 4,6;                                                                                                                                                                                                                                                                4. Первенство по боксу среди юношей 15-16 лет г.Барнаул - 14,0;                                                                                                                                                       5. Первенство России по рукопашному бою среди юниоров г.Орел - 11,5;                                                                                                                           6. Участие в турнире «Лига Сибири» по баскетболу г.Зеленогорск - 5,9;                                                                                                                              7. Участие в первенстве СФО по спортивной волной борьбе г.Тулун - 6,6;                                                                                                8. Участие в открытом международном турнире по боксу «Слюдянский ринг» Иркутской области - 17,5;                                                                           9. Участие в блиц-турнире по хоккею с мячом, посвященному закрытию зимнего сезона в г.Кемерово - 11,5;                                                                                                                                                                                                                                           10. Участие в республиканских соревнованиях по футболу «Кубок Победы» в рамках празднования 77-й годовщины Победы в ВОВ в п.Шира - 3,5.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</si>
  <si>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1.Органы местного самоуправления - 2672,4</t>
    </r>
    <r>
      <rPr>
        <sz val="14"/>
        <rFont val="Times New Roman"/>
        <family val="1"/>
        <charset val="204"/>
      </rPr>
      <t xml:space="preserve">, в том числе: 1. Заработная плата - 1999,4; 2. Начисления на выплаты по оплате труда - 543,7; 3. Услуги связи - 11,8; 4. Услуги по содержанию имущества - 12,6; 5. Прочие работы и услуги - 49,4; 6. Увеличение стоимости прочих материальных запасов - 0,95; 7 Суточные - 2,0; 8.Проезд, проживание - 52,55.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- 10624,5,</t>
    </r>
    <r>
      <rPr>
        <sz val="14"/>
        <rFont val="Times New Roman"/>
        <family val="1"/>
        <charset val="204"/>
      </rPr>
      <t xml:space="preserve"> в том числе: 1. Заработная плата - 6992,0; 2. Начисления на выплаты по оплате труда - 1877,2; 3. Услуги связи - 28,3; 4. Услуги по содержанию имущества - 19,1; 5. Прочие работы, услуги - 173,0; 6. Страхование автомобиля - 4,1; 7. Увеличение стоимости  ГСМ - 250,1; 8. Увеличение стоимости прочих оборотных запасов (материалов) - 15,9; 9. Увеличение стоимости основных средств - 1260,0; 10. Прочие расходы - 4,8.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</si>
  <si>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17. Турнир по футболу среди школьных команд, посвященный памяти Героя Советского Союза Доможакова М.Е. - 7,5;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 Спартакиада среди лиц с ограниченными возможностями здоровья - 8,9;                                                                                                 19. Открытый турнир по греко-римской борьбе памяти Н.Н.Доможакова - 8,4;                                                                                                                     20. Турнир по мини футболу, посвященному памяти Е.В.Шихову - 10,1;                                                                                                                                   21. Изготовление баннера и проведение мероприятий, приуроченных к празднованию 77-летия со дня Победы в ВОВ - 8,5;                                                                                                                                                                                                                    22. Изготовление баннера ГТО - 4,0;                                                                                                                                                                                            23. Открытый турнир Усть-Абаканской СШ по настольному теннису, посвященный празднованию Победы в ВОВ среди юношей и девушек 2006 г.р. и младше - 2,2;                                                                                                                                                                        24. Открытое первенство МБУДО Усть-Абаканская СШ по футболу среди юношей и девушек, посвященное празднованию Победы в ВОВ - 2,4;                                                                                                                                                                              25. Проведение спортивных мероприятий, обеспечение подготовки команд - 19,9;                                                                                                                           26. Шахматный турнир в честь Дня Победы (мужчины, женщины) - 5,0;                                                                                                                              27. Кубок победы по баскетболу (мужчины) - 7,0;                                                                                                                                                                                  28. Кубок победы по футболу - 7,0;                                                                                                                                                                                                    29. Кубок Победы по волейболу - 7,0;                                                                                                                                                                           30. Первенство Усть-Абаканского района по футболу - 7,0;                                                                                                                                                                                                                                                             31. Районные соревнования по пулевой стрельбе в честь Дня Победы среди лиц с ограниченными возможностями здоровья - 7,0;                                                                                                                                                                                             </t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</si>
  <si>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330,6, в том числе: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Содержание автомобильных дорог - 125,8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- 16,6;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аал Чарков - аал Ах-Хол-аал Майский - 31,4;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- 11,3;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- 12,7;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14 км ( Подъезд к п. Ильича - 9,2 км, аал Доможаков - аал Трояков - 2,3 км, аал Райков - аал Баинов - 2,5 км ) - 13,9;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- 39,9.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</si>
  <si>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t xml:space="preserve">1.2. Субсидии муниципальным казенным предприятиям на капитальный ремонт объектов коммунальной инфраструктуры - 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^подразделение с.Вершино-Биджа</t>
    </r>
    <r>
      <rPr>
        <b/>
        <sz val="14"/>
        <rFont val="Times New Roman"/>
        <family val="1"/>
        <charset val="204"/>
      </rPr>
      <t xml:space="preserve">  - </t>
    </r>
    <r>
      <rPr>
        <sz val="14"/>
        <rFont val="Times New Roman"/>
        <family val="1"/>
        <charset val="204"/>
      </rPr>
      <t>Капитальный ремонт санитарно-защитной зоны на водозаборе (Работы ведутся.  Оплата будет произведена в третьем квартале 2022 года).                                                                                                                                                                                                                                 ^подразделение а.Доможаков - Капитальный ремонт сетей теплоснабжения и водопровода по адресу: РХ, Усть-Абаканский район, а. Доможаков, от ТК района ДК в сторон детского сада протяженностью 273 м (Работы ведутся. Выполнено 40%. Оплата будет произведена в третьем квартале 2022 года).</t>
    </r>
  </si>
  <si>
    <r>
      <t xml:space="preserve">2. Реализация инфраструктурных проектов Республики Хакасия:                                                                                           2.1. Строительство и реконструкция объектов муниципальной собственности, в том числе разработка проектно-сметной документации: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Строительство ЦТП 3 Гкал/час, тепловых сетей 1,4 км в п.Расцвет, строительство ЦТП 0,6 Гкал/час , тепловой сети 1,65 км в п. Тепличный, строительство элеваторных узлов 30 шт и тепловой сети 1,65 км с.Зеленое (Выполнение работ планируется после окончания отопительного периода).                                                         </t>
    </r>
  </si>
  <si>
    <r>
      <t xml:space="preserve"> Региональный проект Республики Хакасия «Чистая вода» - </t>
    </r>
    <r>
      <rPr>
        <sz val="14"/>
        <color theme="1"/>
        <rFont val="Times New Roman"/>
        <family val="1"/>
        <charset val="204"/>
      </rPr>
      <t>20587,7, в том числе:</t>
    </r>
    <r>
      <rPr>
        <b/>
        <sz val="14"/>
        <color theme="1"/>
        <rFont val="Times New Roman"/>
        <family val="1"/>
        <charset val="204"/>
      </rPr>
      <t xml:space="preserve"> 369,9 (МБ), 2274,2 (РХ); 17943,6 (ФБ):                                                                                                                                                                                                                                        1 Строительство и реконструкция объектов муниципальной собственности, в том числе разработка проектно-сметной документации</t>
    </r>
    <r>
      <rPr>
        <sz val="14"/>
        <color theme="1"/>
        <rFont val="Times New Roman"/>
        <family val="1"/>
        <charset val="204"/>
      </rPr>
      <t xml:space="preserve"> - Авторский надзор по строительству водопровода с.Зеленое (Оплата будет произведена в третьем квартале 2022 года).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 «Строительство и реконструкция объектов питьевого водоснабжения ( в том числе софинансирование с республиканским бюджетом» </t>
    </r>
    <r>
      <rPr>
        <sz val="14"/>
        <color theme="1"/>
        <rFont val="Times New Roman"/>
        <family val="1"/>
        <charset val="204"/>
      </rPr>
      <t xml:space="preserve"> Строительство системы водоснабжения с. Зеленое (Аукцион проведен 21.03.2022. Оплачен аванс по контракту) - 369,9 (МБ), 2274,2 (РХ); 17943,6 (ФБ).</t>
    </r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</si>
</sst>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3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horizontal="left"/>
    </xf>
    <xf numFmtId="164" fontId="9" fillId="0" borderId="0" xfId="0" applyNumberFormat="1" applyFont="1" applyFill="1" applyAlignment="1">
      <alignment horizontal="right" vertical="top"/>
    </xf>
    <xf numFmtId="164" fontId="10" fillId="0" borderId="0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Alignment="1">
      <alignment horizontal="center" vertical="top"/>
    </xf>
    <xf numFmtId="165" fontId="5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vertical="top" wrapText="1"/>
    </xf>
    <xf numFmtId="165" fontId="13" fillId="0" borderId="5" xfId="0" applyNumberFormat="1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 wrapText="1"/>
    </xf>
    <xf numFmtId="165" fontId="5" fillId="0" borderId="1" xfId="0" applyNumberFormat="1" applyFont="1" applyFill="1" applyBorder="1" applyAlignment="1">
      <alignment horizontal="center" vertical="top"/>
    </xf>
    <xf numFmtId="0" fontId="18" fillId="0" borderId="1" xfId="0" applyFont="1" applyFill="1" applyBorder="1" applyAlignment="1">
      <alignment vertical="top" wrapText="1"/>
    </xf>
    <xf numFmtId="0" fontId="18" fillId="0" borderId="2" xfId="0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horizontal="center" vertical="top"/>
    </xf>
    <xf numFmtId="165" fontId="13" fillId="0" borderId="8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/>
    </xf>
    <xf numFmtId="165" fontId="2" fillId="0" borderId="8" xfId="0" applyNumberFormat="1" applyFont="1" applyFill="1" applyBorder="1" applyAlignment="1">
      <alignment horizontal="left" vertical="top"/>
    </xf>
    <xf numFmtId="165" fontId="2" fillId="0" borderId="6" xfId="0" applyNumberFormat="1" applyFont="1" applyFill="1" applyBorder="1" applyAlignment="1">
      <alignment horizontal="left" vertical="top"/>
    </xf>
    <xf numFmtId="165" fontId="2" fillId="0" borderId="5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vertical="top" wrapText="1"/>
    </xf>
    <xf numFmtId="165" fontId="5" fillId="0" borderId="5" xfId="0" applyNumberFormat="1" applyFont="1" applyFill="1" applyBorder="1" applyAlignment="1">
      <alignment horizontal="center" vertical="top"/>
    </xf>
    <xf numFmtId="0" fontId="18" fillId="0" borderId="5" xfId="0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horizontal="center" vertical="top"/>
    </xf>
    <xf numFmtId="0" fontId="13" fillId="0" borderId="8" xfId="0" applyFont="1" applyFill="1" applyBorder="1" applyAlignment="1">
      <alignment vertical="top" wrapText="1"/>
    </xf>
    <xf numFmtId="0" fontId="14" fillId="0" borderId="5" xfId="0" applyFont="1" applyFill="1" applyBorder="1" applyAlignment="1">
      <alignment horizontal="left" vertical="top" wrapText="1"/>
    </xf>
    <xf numFmtId="165" fontId="12" fillId="0" borderId="5" xfId="0" applyNumberFormat="1" applyFont="1" applyFill="1" applyBorder="1" applyAlignment="1">
      <alignment vertical="top" wrapText="1"/>
    </xf>
    <xf numFmtId="0" fontId="14" fillId="0" borderId="9" xfId="0" applyFont="1" applyFill="1" applyBorder="1" applyAlignment="1">
      <alignment horizontal="left" vertical="top" wrapText="1"/>
    </xf>
    <xf numFmtId="165" fontId="12" fillId="0" borderId="6" xfId="0" applyNumberFormat="1" applyFont="1" applyFill="1" applyBorder="1" applyAlignment="1">
      <alignment vertical="top" wrapText="1"/>
    </xf>
    <xf numFmtId="0" fontId="14" fillId="0" borderId="10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5" fillId="0" borderId="2" xfId="0" applyFont="1" applyFill="1" applyBorder="1" applyAlignment="1">
      <alignment vertical="top" wrapText="1"/>
    </xf>
    <xf numFmtId="165" fontId="5" fillId="0" borderId="8" xfId="0" applyNumberFormat="1" applyFont="1" applyFill="1" applyBorder="1" applyAlignment="1">
      <alignment horizontal="center" vertical="top"/>
    </xf>
    <xf numFmtId="0" fontId="12" fillId="0" borderId="6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horizontal="center" vertical="top" wrapText="1"/>
    </xf>
    <xf numFmtId="165" fontId="2" fillId="0" borderId="8" xfId="0" applyNumberFormat="1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left" vertical="top" wrapText="1"/>
    </xf>
    <xf numFmtId="165" fontId="2" fillId="0" borderId="6" xfId="0" applyNumberFormat="1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left" vertical="top" wrapText="1"/>
    </xf>
    <xf numFmtId="49" fontId="5" fillId="0" borderId="5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vertical="top" wrapText="1"/>
    </xf>
    <xf numFmtId="49" fontId="2" fillId="0" borderId="8" xfId="0" applyNumberFormat="1" applyFont="1" applyFill="1" applyBorder="1" applyAlignment="1">
      <alignment vertical="top"/>
    </xf>
    <xf numFmtId="0" fontId="5" fillId="0" borderId="8" xfId="0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vertical="top"/>
    </xf>
    <xf numFmtId="165" fontId="5" fillId="0" borderId="0" xfId="0" applyNumberFormat="1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center"/>
    </xf>
    <xf numFmtId="0" fontId="15" fillId="0" borderId="7" xfId="0" applyFont="1" applyFill="1" applyBorder="1" applyAlignment="1">
      <alignment vertical="top" wrapText="1"/>
    </xf>
    <xf numFmtId="0" fontId="15" fillId="0" borderId="9" xfId="0" applyFont="1" applyFill="1" applyBorder="1" applyAlignment="1">
      <alignment vertical="top" wrapText="1"/>
    </xf>
    <xf numFmtId="0" fontId="14" fillId="0" borderId="9" xfId="0" applyFont="1" applyFill="1" applyBorder="1" applyAlignment="1">
      <alignment vertical="top" wrapText="1"/>
    </xf>
    <xf numFmtId="0" fontId="9" fillId="0" borderId="0" xfId="0" applyFont="1" applyFill="1" applyAlignment="1"/>
    <xf numFmtId="0" fontId="11" fillId="0" borderId="0" xfId="0" applyFont="1" applyFill="1"/>
    <xf numFmtId="165" fontId="5" fillId="0" borderId="6" xfId="0" applyNumberFormat="1" applyFont="1" applyFill="1" applyBorder="1" applyAlignment="1">
      <alignment horizontal="center" vertical="top"/>
    </xf>
    <xf numFmtId="0" fontId="18" fillId="0" borderId="9" xfId="0" applyFont="1" applyFill="1" applyBorder="1" applyAlignment="1">
      <alignment vertical="top" wrapText="1"/>
    </xf>
    <xf numFmtId="0" fontId="18" fillId="0" borderId="6" xfId="0" applyFont="1" applyFill="1" applyBorder="1" applyAlignment="1">
      <alignment vertical="top" wrapText="1"/>
    </xf>
    <xf numFmtId="0" fontId="9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164" fontId="12" fillId="0" borderId="8" xfId="0" applyNumberFormat="1" applyFont="1" applyFill="1" applyBorder="1" applyAlignment="1">
      <alignment horizontal="center" vertical="top"/>
    </xf>
    <xf numFmtId="164" fontId="12" fillId="0" borderId="8" xfId="0" applyNumberFormat="1" applyFont="1" applyFill="1" applyBorder="1" applyAlignment="1">
      <alignment vertical="top"/>
    </xf>
    <xf numFmtId="164" fontId="12" fillId="0" borderId="6" xfId="0" applyNumberFormat="1" applyFont="1" applyFill="1" applyBorder="1" applyAlignment="1">
      <alignment horizontal="center" vertical="top"/>
    </xf>
    <xf numFmtId="164" fontId="12" fillId="0" borderId="1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164" fontId="5" fillId="0" borderId="8" xfId="0" applyNumberFormat="1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top"/>
    </xf>
    <xf numFmtId="164" fontId="2" fillId="0" borderId="8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vertical="top"/>
    </xf>
    <xf numFmtId="0" fontId="2" fillId="0" borderId="0" xfId="0" applyFont="1" applyFill="1" applyAlignment="1">
      <alignment vertical="top" shrinkToFit="1"/>
    </xf>
    <xf numFmtId="1" fontId="2" fillId="0" borderId="0" xfId="0" applyNumberFormat="1" applyFont="1" applyFill="1" applyAlignment="1">
      <alignment horizontal="center" vertical="top" shrinkToFit="1"/>
    </xf>
    <xf numFmtId="165" fontId="12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Border="1"/>
    <xf numFmtId="165" fontId="13" fillId="0" borderId="1" xfId="0" applyNumberFormat="1" applyFont="1" applyFill="1" applyBorder="1" applyAlignment="1">
      <alignment vertical="top" wrapText="1"/>
    </xf>
    <xf numFmtId="4" fontId="2" fillId="0" borderId="0" xfId="0" applyNumberFormat="1" applyFont="1" applyFill="1" applyAlignment="1">
      <alignment vertical="top"/>
    </xf>
    <xf numFmtId="4" fontId="5" fillId="0" borderId="0" xfId="0" applyNumberFormat="1" applyFont="1" applyFill="1" applyAlignment="1">
      <alignment vertical="top"/>
    </xf>
    <xf numFmtId="165" fontId="12" fillId="0" borderId="5" xfId="0" applyNumberFormat="1" applyFont="1" applyFill="1" applyBorder="1" applyAlignment="1">
      <alignment horizontal="left" vertical="top" wrapText="1"/>
    </xf>
    <xf numFmtId="165" fontId="12" fillId="0" borderId="6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164" fontId="2" fillId="0" borderId="0" xfId="0" applyNumberFormat="1" applyFont="1" applyFill="1" applyAlignment="1">
      <alignment horizontal="right" vertical="top" shrinkToFit="1"/>
    </xf>
    <xf numFmtId="164" fontId="5" fillId="0" borderId="0" xfId="0" applyNumberFormat="1" applyFont="1" applyFill="1" applyAlignment="1">
      <alignment horizontal="right" vertical="top" shrinkToFit="1"/>
    </xf>
    <xf numFmtId="164" fontId="5" fillId="0" borderId="6" xfId="0" applyNumberFormat="1" applyFont="1" applyFill="1" applyBorder="1" applyAlignment="1">
      <alignment horizontal="center" vertical="center" shrinkToFit="1"/>
    </xf>
    <xf numFmtId="164" fontId="2" fillId="0" borderId="1" xfId="0" applyNumberFormat="1" applyFont="1" applyFill="1" applyBorder="1" applyAlignment="1">
      <alignment horizontal="center" vertical="center" shrinkToFit="1"/>
    </xf>
    <xf numFmtId="164" fontId="12" fillId="0" borderId="5" xfId="0" applyNumberFormat="1" applyFont="1" applyFill="1" applyBorder="1" applyAlignment="1">
      <alignment horizontal="right" vertical="top" shrinkToFit="1"/>
    </xf>
    <xf numFmtId="164" fontId="13" fillId="0" borderId="8" xfId="0" applyNumberFormat="1" applyFont="1" applyFill="1" applyBorder="1" applyAlignment="1">
      <alignment horizontal="right" vertical="top" shrinkToFit="1"/>
    </xf>
    <xf numFmtId="164" fontId="13" fillId="0" borderId="6" xfId="0" applyNumberFormat="1" applyFont="1" applyFill="1" applyBorder="1" applyAlignment="1">
      <alignment horizontal="right" vertical="top" shrinkToFit="1"/>
    </xf>
    <xf numFmtId="164" fontId="12" fillId="0" borderId="6" xfId="0" applyNumberFormat="1" applyFont="1" applyFill="1" applyBorder="1" applyAlignment="1">
      <alignment horizontal="right" vertical="top" shrinkToFit="1"/>
    </xf>
    <xf numFmtId="164" fontId="5" fillId="0" borderId="1" xfId="0" applyNumberFormat="1" applyFont="1" applyFill="1" applyBorder="1" applyAlignment="1">
      <alignment horizontal="right" vertical="top" shrinkToFit="1"/>
    </xf>
    <xf numFmtId="164" fontId="13" fillId="0" borderId="5" xfId="0" applyNumberFormat="1" applyFont="1" applyFill="1" applyBorder="1" applyAlignment="1">
      <alignment vertical="top" shrinkToFit="1"/>
    </xf>
    <xf numFmtId="164" fontId="12" fillId="0" borderId="5" xfId="0" applyNumberFormat="1" applyFont="1" applyFill="1" applyBorder="1" applyAlignment="1">
      <alignment vertical="top" shrinkToFit="1"/>
    </xf>
    <xf numFmtId="164" fontId="13" fillId="0" borderId="8" xfId="0" applyNumberFormat="1" applyFont="1" applyFill="1" applyBorder="1" applyAlignment="1">
      <alignment vertical="top" shrinkToFit="1"/>
    </xf>
    <xf numFmtId="164" fontId="12" fillId="0" borderId="8" xfId="0" applyNumberFormat="1" applyFont="1" applyFill="1" applyBorder="1" applyAlignment="1">
      <alignment vertical="top" shrinkToFit="1"/>
    </xf>
    <xf numFmtId="164" fontId="13" fillId="0" borderId="6" xfId="0" applyNumberFormat="1" applyFont="1" applyFill="1" applyBorder="1" applyAlignment="1">
      <alignment vertical="top" shrinkToFit="1"/>
    </xf>
    <xf numFmtId="164" fontId="2" fillId="0" borderId="5" xfId="0" applyNumberFormat="1" applyFont="1" applyFill="1" applyBorder="1" applyAlignment="1">
      <alignment horizontal="right" vertical="top" shrinkToFit="1"/>
    </xf>
    <xf numFmtId="164" fontId="5" fillId="0" borderId="5" xfId="0" applyNumberFormat="1" applyFont="1" applyFill="1" applyBorder="1" applyAlignment="1">
      <alignment horizontal="right" vertical="top" shrinkToFit="1"/>
    </xf>
    <xf numFmtId="164" fontId="2" fillId="0" borderId="8" xfId="0" applyNumberFormat="1" applyFont="1" applyFill="1" applyBorder="1" applyAlignment="1">
      <alignment horizontal="right" vertical="top" shrinkToFit="1"/>
    </xf>
    <xf numFmtId="164" fontId="5" fillId="0" borderId="8" xfId="0" applyNumberFormat="1" applyFont="1" applyFill="1" applyBorder="1" applyAlignment="1">
      <alignment horizontal="right" vertical="top" shrinkToFit="1"/>
    </xf>
    <xf numFmtId="164" fontId="12" fillId="0" borderId="8" xfId="0" applyNumberFormat="1" applyFont="1" applyFill="1" applyBorder="1" applyAlignment="1">
      <alignment horizontal="right" vertical="top" shrinkToFit="1"/>
    </xf>
    <xf numFmtId="164" fontId="2" fillId="0" borderId="6" xfId="0" applyNumberFormat="1" applyFont="1" applyFill="1" applyBorder="1" applyAlignment="1">
      <alignment horizontal="right" vertical="top" shrinkToFit="1"/>
    </xf>
    <xf numFmtId="164" fontId="2" fillId="0" borderId="12" xfId="0" applyNumberFormat="1" applyFont="1" applyFill="1" applyBorder="1" applyAlignment="1">
      <alignment horizontal="right" vertical="top" shrinkToFit="1"/>
    </xf>
    <xf numFmtId="164" fontId="2" fillId="0" borderId="1" xfId="0" applyNumberFormat="1" applyFont="1" applyFill="1" applyBorder="1" applyAlignment="1">
      <alignment horizontal="right" vertical="top" shrinkToFit="1"/>
    </xf>
    <xf numFmtId="164" fontId="2" fillId="0" borderId="4" xfId="0" applyNumberFormat="1" applyFont="1" applyFill="1" applyBorder="1" applyAlignment="1">
      <alignment horizontal="right" vertical="top" shrinkToFit="1"/>
    </xf>
    <xf numFmtId="164" fontId="13" fillId="0" borderId="1" xfId="0" applyNumberFormat="1" applyFont="1" applyFill="1" applyBorder="1" applyAlignment="1">
      <alignment horizontal="right" vertical="top" shrinkToFit="1"/>
    </xf>
    <xf numFmtId="164" fontId="12" fillId="0" borderId="1" xfId="0" applyNumberFormat="1" applyFont="1" applyFill="1" applyBorder="1" applyAlignment="1">
      <alignment horizontal="right" vertical="top" shrinkToFit="1"/>
    </xf>
    <xf numFmtId="164" fontId="2" fillId="0" borderId="11" xfId="0" applyNumberFormat="1" applyFont="1" applyFill="1" applyBorder="1" applyAlignment="1">
      <alignment horizontal="right" vertical="top" shrinkToFit="1"/>
    </xf>
    <xf numFmtId="164" fontId="13" fillId="0" borderId="5" xfId="0" applyNumberFormat="1" applyFont="1" applyFill="1" applyBorder="1" applyAlignment="1">
      <alignment horizontal="right" vertical="top" shrinkToFit="1"/>
    </xf>
    <xf numFmtId="164" fontId="5" fillId="0" borderId="6" xfId="0" applyNumberFormat="1" applyFont="1" applyFill="1" applyBorder="1" applyAlignment="1">
      <alignment horizontal="right" vertical="top" shrinkToFit="1"/>
    </xf>
    <xf numFmtId="164" fontId="2" fillId="0" borderId="0" xfId="0" applyNumberFormat="1" applyFont="1" applyFill="1" applyBorder="1" applyAlignment="1">
      <alignment horizontal="right" vertical="top" shrinkToFit="1"/>
    </xf>
    <xf numFmtId="164" fontId="15" fillId="0" borderId="5" xfId="0" applyNumberFormat="1" applyFont="1" applyFill="1" applyBorder="1" applyAlignment="1">
      <alignment horizontal="right" vertical="top" shrinkToFit="1"/>
    </xf>
    <xf numFmtId="164" fontId="15" fillId="0" borderId="8" xfId="0" applyNumberFormat="1" applyFont="1" applyFill="1" applyBorder="1" applyAlignment="1">
      <alignment horizontal="right" vertical="top" shrinkToFit="1"/>
    </xf>
    <xf numFmtId="164" fontId="15" fillId="0" borderId="6" xfId="0" applyNumberFormat="1" applyFont="1" applyFill="1" applyBorder="1" applyAlignment="1">
      <alignment horizontal="right" vertical="top" shrinkToFit="1"/>
    </xf>
    <xf numFmtId="164" fontId="5" fillId="0" borderId="1" xfId="0" applyNumberFormat="1" applyFont="1" applyFill="1" applyBorder="1" applyAlignment="1">
      <alignment horizontal="right" vertical="center" shrinkToFit="1"/>
    </xf>
    <xf numFmtId="164" fontId="5" fillId="0" borderId="0" xfId="0" applyNumberFormat="1" applyFont="1" applyFill="1" applyBorder="1" applyAlignment="1">
      <alignment horizontal="right" vertical="center" shrinkToFit="1"/>
    </xf>
    <xf numFmtId="164" fontId="5" fillId="0" borderId="0" xfId="0" applyNumberFormat="1" applyFont="1" applyFill="1" applyBorder="1" applyAlignment="1">
      <alignment horizontal="right" vertical="top" shrinkToFit="1"/>
    </xf>
    <xf numFmtId="164" fontId="10" fillId="0" borderId="0" xfId="0" applyNumberFormat="1" applyFont="1" applyFill="1" applyBorder="1" applyAlignment="1">
      <alignment horizontal="right" vertical="top" shrinkToFit="1"/>
    </xf>
    <xf numFmtId="164" fontId="10" fillId="0" borderId="0" xfId="0" applyNumberFormat="1" applyFont="1" applyFill="1" applyBorder="1" applyAlignment="1">
      <alignment horizontal="left" vertical="top" shrinkToFit="1"/>
    </xf>
    <xf numFmtId="164" fontId="9" fillId="0" borderId="0" xfId="0" applyNumberFormat="1" applyFont="1" applyFill="1" applyAlignment="1">
      <alignment horizontal="left" vertical="top" shrinkToFit="1"/>
    </xf>
    <xf numFmtId="164" fontId="9" fillId="0" borderId="0" xfId="0" applyNumberFormat="1" applyFont="1" applyFill="1" applyBorder="1" applyAlignment="1">
      <alignment horizontal="left" vertical="top" shrinkToFit="1"/>
    </xf>
    <xf numFmtId="164" fontId="9" fillId="0" borderId="0" xfId="0" applyNumberFormat="1" applyFont="1" applyFill="1" applyBorder="1" applyAlignment="1">
      <alignment horizontal="right" vertical="top" shrinkToFit="1"/>
    </xf>
    <xf numFmtId="164" fontId="10" fillId="0" borderId="0" xfId="0" applyNumberFormat="1" applyFont="1" applyFill="1" applyAlignment="1">
      <alignment horizontal="right" vertical="top" shrinkToFit="1"/>
    </xf>
    <xf numFmtId="164" fontId="9" fillId="0" borderId="0" xfId="0" applyNumberFormat="1" applyFont="1" applyFill="1" applyAlignment="1">
      <alignment horizontal="right" vertical="top" shrinkToFit="1"/>
    </xf>
    <xf numFmtId="49" fontId="5" fillId="0" borderId="8" xfId="0" applyNumberFormat="1" applyFont="1" applyFill="1" applyBorder="1" applyAlignment="1">
      <alignment horizontal="center" vertical="top"/>
    </xf>
    <xf numFmtId="165" fontId="12" fillId="0" borderId="8" xfId="0" applyNumberFormat="1" applyFont="1" applyFill="1" applyBorder="1" applyAlignment="1">
      <alignment horizontal="left" vertical="top" wrapText="1"/>
    </xf>
    <xf numFmtId="165" fontId="13" fillId="0" borderId="8" xfId="0" applyNumberFormat="1" applyFont="1" applyFill="1" applyBorder="1" applyAlignment="1">
      <alignment horizontal="left" vertical="top" wrapText="1"/>
    </xf>
    <xf numFmtId="165" fontId="12" fillId="0" borderId="8" xfId="0" applyNumberFormat="1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8" xfId="0" applyNumberFormat="1" applyFont="1" applyFill="1" applyBorder="1" applyAlignment="1">
      <alignment vertical="top" wrapText="1"/>
    </xf>
    <xf numFmtId="0" fontId="12" fillId="0" borderId="8" xfId="0" applyFont="1" applyFill="1" applyBorder="1" applyAlignment="1">
      <alignment horizontal="left" vertical="top" wrapText="1"/>
    </xf>
    <xf numFmtId="165" fontId="13" fillId="0" borderId="6" xfId="0" applyNumberFormat="1" applyFont="1" applyFill="1" applyBorder="1" applyAlignment="1">
      <alignment vertical="top" wrapText="1"/>
    </xf>
    <xf numFmtId="4" fontId="2" fillId="0" borderId="0" xfId="0" applyNumberFormat="1" applyFont="1" applyFill="1" applyAlignment="1">
      <alignment horizontal="center" vertical="top"/>
    </xf>
    <xf numFmtId="165" fontId="12" fillId="0" borderId="1" xfId="0" applyNumberFormat="1" applyFont="1" applyFill="1" applyBorder="1" applyAlignment="1">
      <alignment vertical="top" wrapText="1"/>
    </xf>
    <xf numFmtId="165" fontId="13" fillId="0" borderId="1" xfId="0" applyNumberFormat="1" applyFont="1" applyFill="1" applyBorder="1" applyAlignment="1">
      <alignment horizontal="left" vertical="top" wrapText="1"/>
    </xf>
    <xf numFmtId="165" fontId="12" fillId="0" borderId="1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vertical="top" wrapText="1"/>
    </xf>
    <xf numFmtId="0" fontId="2" fillId="0" borderId="0" xfId="0" applyFont="1" applyFill="1" applyAlignment="1">
      <alignment horizontal="right" wrapText="1"/>
    </xf>
    <xf numFmtId="0" fontId="5" fillId="0" borderId="6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/>
    <xf numFmtId="4" fontId="2" fillId="0" borderId="0" xfId="0" applyNumberFormat="1" applyFont="1" applyFill="1" applyAlignment="1">
      <alignment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165" fontId="5" fillId="0" borderId="2" xfId="0" applyNumberFormat="1" applyFont="1" applyFill="1" applyBorder="1" applyAlignment="1">
      <alignment horizontal="left" vertical="center" wrapText="1"/>
    </xf>
    <xf numFmtId="165" fontId="5" fillId="0" borderId="4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center" vertical="top" wrapText="1"/>
    </xf>
    <xf numFmtId="165" fontId="5" fillId="0" borderId="5" xfId="0" applyNumberFormat="1" applyFont="1" applyFill="1" applyBorder="1" applyAlignment="1">
      <alignment horizontal="center" vertical="top" wrapText="1"/>
    </xf>
    <xf numFmtId="165" fontId="5" fillId="0" borderId="6" xfId="0" applyNumberFormat="1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 wrapText="1"/>
    </xf>
    <xf numFmtId="164" fontId="5" fillId="0" borderId="2" xfId="0" applyNumberFormat="1" applyFont="1" applyFill="1" applyBorder="1" applyAlignment="1">
      <alignment horizontal="center" vertical="center" shrinkToFit="1"/>
    </xf>
    <xf numFmtId="164" fontId="5" fillId="0" borderId="3" xfId="0" applyNumberFormat="1" applyFont="1" applyFill="1" applyBorder="1" applyAlignment="1">
      <alignment horizontal="center" vertical="center" shrinkToFit="1"/>
    </xf>
    <xf numFmtId="164" fontId="5" fillId="0" borderId="4" xfId="0" applyNumberFormat="1" applyFont="1" applyFill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54"/>
  <sheetViews>
    <sheetView tabSelected="1" zoomScale="70" zoomScaleNormal="70" zoomScaleSheetLayoutView="70" workbookViewId="0">
      <selection activeCell="C10" sqref="C10:E10"/>
    </sheetView>
  </sheetViews>
  <sheetFormatPr defaultColWidth="9.140625" defaultRowHeight="18.75"/>
  <cols>
    <col min="1" max="1" width="7.5703125" style="1" customWidth="1"/>
    <col min="2" max="2" width="38.7109375" style="1" customWidth="1"/>
    <col min="3" max="5" width="19" style="103" bestFit="1" customWidth="1"/>
    <col min="6" max="6" width="21.28515625" style="104" bestFit="1" customWidth="1"/>
    <col min="7" max="8" width="19" style="103" bestFit="1" customWidth="1"/>
    <col min="9" max="9" width="17.5703125" style="103" bestFit="1" customWidth="1"/>
    <col min="10" max="10" width="19" style="104" bestFit="1" customWidth="1"/>
    <col min="11" max="11" width="20.85546875" style="6" customWidth="1"/>
    <col min="12" max="12" width="123.7109375" style="1" customWidth="1"/>
    <col min="13" max="13" width="7.42578125" style="1" hidden="1" customWidth="1"/>
    <col min="14" max="14" width="10.140625" style="1" hidden="1" customWidth="1"/>
    <col min="15" max="15" width="9.140625" style="1" hidden="1" customWidth="1"/>
    <col min="16" max="16" width="11.140625" style="91" hidden="1" customWidth="1"/>
    <col min="17" max="17" width="17.42578125" style="96" hidden="1" customWidth="1"/>
    <col min="18" max="18" width="15.42578125" style="1" customWidth="1"/>
    <col min="19" max="16384" width="9.140625" style="1"/>
  </cols>
  <sheetData>
    <row r="1" spans="1:17" ht="33.75" customHeight="1">
      <c r="A1" s="171" t="s">
        <v>101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7" ht="34.5" customHeight="1">
      <c r="A2" s="171" t="s">
        <v>105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7" ht="20.25" customHeight="1">
      <c r="A3" s="8"/>
      <c r="B3" s="8"/>
      <c r="K3" s="75"/>
      <c r="L3" s="159" t="s">
        <v>16</v>
      </c>
    </row>
    <row r="4" spans="1:17" s="9" customFormat="1" ht="30" customHeight="1">
      <c r="A4" s="172" t="s">
        <v>17</v>
      </c>
      <c r="B4" s="172" t="s">
        <v>18</v>
      </c>
      <c r="C4" s="180" t="s">
        <v>19</v>
      </c>
      <c r="D4" s="181"/>
      <c r="E4" s="181"/>
      <c r="F4" s="182"/>
      <c r="G4" s="180" t="s">
        <v>0</v>
      </c>
      <c r="H4" s="181"/>
      <c r="I4" s="181"/>
      <c r="J4" s="182"/>
      <c r="K4" s="174" t="s">
        <v>90</v>
      </c>
      <c r="L4" s="172" t="s">
        <v>20</v>
      </c>
      <c r="M4" s="9" t="s">
        <v>92</v>
      </c>
      <c r="P4" s="91"/>
      <c r="Q4" s="165"/>
    </row>
    <row r="5" spans="1:17" s="9" customFormat="1" ht="28.5" customHeight="1">
      <c r="A5" s="173"/>
      <c r="B5" s="173"/>
      <c r="C5" s="105" t="s">
        <v>21</v>
      </c>
      <c r="D5" s="105" t="s">
        <v>22</v>
      </c>
      <c r="E5" s="105" t="s">
        <v>23</v>
      </c>
      <c r="F5" s="105" t="s">
        <v>24</v>
      </c>
      <c r="G5" s="105" t="s">
        <v>21</v>
      </c>
      <c r="H5" s="105" t="s">
        <v>22</v>
      </c>
      <c r="I5" s="105" t="s">
        <v>23</v>
      </c>
      <c r="J5" s="105" t="s">
        <v>24</v>
      </c>
      <c r="K5" s="175"/>
      <c r="L5" s="173"/>
      <c r="P5" s="91"/>
      <c r="Q5" s="165"/>
    </row>
    <row r="6" spans="1:17" s="12" customFormat="1" ht="18.75" customHeight="1">
      <c r="A6" s="10">
        <v>1</v>
      </c>
      <c r="B6" s="11">
        <v>2</v>
      </c>
      <c r="C6" s="106">
        <v>3</v>
      </c>
      <c r="D6" s="106">
        <v>4</v>
      </c>
      <c r="E6" s="106">
        <v>5</v>
      </c>
      <c r="F6" s="106">
        <v>6</v>
      </c>
      <c r="G6" s="106">
        <v>7</v>
      </c>
      <c r="H6" s="106">
        <v>8</v>
      </c>
      <c r="I6" s="106">
        <v>9</v>
      </c>
      <c r="J6" s="106">
        <v>10</v>
      </c>
      <c r="K6" s="76">
        <v>11</v>
      </c>
      <c r="L6" s="11">
        <v>12</v>
      </c>
      <c r="P6" s="92"/>
      <c r="Q6" s="153"/>
    </row>
    <row r="7" spans="1:17" ht="160.5" customHeight="1">
      <c r="A7" s="93" t="s">
        <v>25</v>
      </c>
      <c r="B7" s="37" t="s">
        <v>95</v>
      </c>
      <c r="C7" s="107">
        <v>14175.42699</v>
      </c>
      <c r="D7" s="107">
        <v>2011.3</v>
      </c>
      <c r="E7" s="107">
        <v>230.6</v>
      </c>
      <c r="F7" s="107">
        <f>E7+D7+C7</f>
        <v>16417.326990000001</v>
      </c>
      <c r="G7" s="107">
        <v>5825.0636999999997</v>
      </c>
      <c r="H7" s="107">
        <v>757.93889999999999</v>
      </c>
      <c r="I7" s="107">
        <v>230.56100000000001</v>
      </c>
      <c r="J7" s="107">
        <f>G7+H7+I7</f>
        <v>6813.5635999999995</v>
      </c>
      <c r="K7" s="77">
        <f>J7/F7*100</f>
        <v>41.502271375542598</v>
      </c>
      <c r="L7" s="15" t="s">
        <v>119</v>
      </c>
      <c r="Q7" s="96">
        <f>51.8+953.9</f>
        <v>1005.6999999999999</v>
      </c>
    </row>
    <row r="8" spans="1:17" ht="222" customHeight="1">
      <c r="A8" s="34"/>
      <c r="B8" s="68"/>
      <c r="C8" s="108"/>
      <c r="D8" s="109"/>
      <c r="E8" s="109"/>
      <c r="F8" s="110"/>
      <c r="G8" s="109"/>
      <c r="H8" s="109"/>
      <c r="I8" s="109"/>
      <c r="J8" s="110"/>
      <c r="K8" s="81"/>
      <c r="L8" s="39" t="s">
        <v>120</v>
      </c>
      <c r="Q8" s="96">
        <f>5807.9</f>
        <v>5807.9</v>
      </c>
    </row>
    <row r="9" spans="1:17" ht="93.75">
      <c r="A9" s="17" t="s">
        <v>26</v>
      </c>
      <c r="B9" s="18" t="s">
        <v>89</v>
      </c>
      <c r="C9" s="111">
        <v>48</v>
      </c>
      <c r="D9" s="111"/>
      <c r="E9" s="111"/>
      <c r="F9" s="111">
        <f>E9+D9+C9</f>
        <v>48</v>
      </c>
      <c r="G9" s="111">
        <v>35.178980000000003</v>
      </c>
      <c r="H9" s="111"/>
      <c r="I9" s="111"/>
      <c r="J9" s="111">
        <f>SUM(G9:I9)</f>
        <v>35.178980000000003</v>
      </c>
      <c r="K9" s="77">
        <f>J9/F9*100</f>
        <v>73.289541666666665</v>
      </c>
      <c r="L9" s="95" t="s">
        <v>109</v>
      </c>
    </row>
    <row r="10" spans="1:17" ht="57" customHeight="1">
      <c r="A10" s="17" t="s">
        <v>27</v>
      </c>
      <c r="B10" s="19" t="s">
        <v>88</v>
      </c>
      <c r="C10" s="111">
        <f t="shared" ref="C10:J10" si="0">C11+C38+C43</f>
        <v>393646.75033000001</v>
      </c>
      <c r="D10" s="104">
        <f t="shared" si="0"/>
        <v>632383.9196299999</v>
      </c>
      <c r="E10" s="111">
        <f t="shared" si="0"/>
        <v>71229.300999999992</v>
      </c>
      <c r="F10" s="111">
        <f t="shared" si="0"/>
        <v>1097259.9709599998</v>
      </c>
      <c r="G10" s="111">
        <f t="shared" si="0"/>
        <v>181824.55945</v>
      </c>
      <c r="H10" s="111">
        <f t="shared" si="0"/>
        <v>330096.19488999998</v>
      </c>
      <c r="I10" s="111">
        <f t="shared" si="0"/>
        <v>32492.745060000001</v>
      </c>
      <c r="J10" s="111">
        <f t="shared" si="0"/>
        <v>544413.49940000009</v>
      </c>
      <c r="K10" s="78">
        <f>J10*100/F10</f>
        <v>49.615725881596617</v>
      </c>
      <c r="L10" s="15"/>
    </row>
    <row r="11" spans="1:17" ht="119.25" customHeight="1">
      <c r="A11" s="13" t="s">
        <v>62</v>
      </c>
      <c r="B11" s="15" t="s">
        <v>34</v>
      </c>
      <c r="C11" s="112">
        <f>330689.56825+(142.85717)</f>
        <v>330832.42541999999</v>
      </c>
      <c r="D11" s="112">
        <f>625389.65213-5.7325+7000</f>
        <v>632383.9196299999</v>
      </c>
      <c r="E11" s="112">
        <f>71796.821-567.52</f>
        <v>71229.300999999992</v>
      </c>
      <c r="F11" s="113">
        <f>E11+D11+C11</f>
        <v>1034445.6460499999</v>
      </c>
      <c r="G11" s="112">
        <v>149669.08734</v>
      </c>
      <c r="H11" s="112">
        <v>330096.19488999998</v>
      </c>
      <c r="I11" s="112">
        <v>32492.745060000001</v>
      </c>
      <c r="J11" s="113">
        <f>G11+H11+I11</f>
        <v>512258.02729</v>
      </c>
      <c r="K11" s="77">
        <f>J11*100/F11</f>
        <v>49.520052527268319</v>
      </c>
      <c r="L11" s="15" t="s">
        <v>121</v>
      </c>
      <c r="Q11" s="96">
        <f>14226.4+32.1+93.2+5383.8+905+289.3+2171+124.6+925.5</f>
        <v>24150.899999999998</v>
      </c>
    </row>
    <row r="12" spans="1:17" ht="37.5" hidden="1">
      <c r="A12" s="20"/>
      <c r="B12" s="21"/>
      <c r="C12" s="114"/>
      <c r="D12" s="114"/>
      <c r="E12" s="114"/>
      <c r="F12" s="115"/>
      <c r="G12" s="114"/>
      <c r="H12" s="114"/>
      <c r="I12" s="114"/>
      <c r="J12" s="115"/>
      <c r="K12" s="79"/>
      <c r="L12" s="148" t="s">
        <v>102</v>
      </c>
    </row>
    <row r="13" spans="1:17" ht="103.5" customHeight="1">
      <c r="A13" s="20"/>
      <c r="B13" s="21"/>
      <c r="C13" s="114"/>
      <c r="D13" s="114"/>
      <c r="E13" s="114"/>
      <c r="F13" s="115"/>
      <c r="G13" s="114"/>
      <c r="H13" s="114"/>
      <c r="I13" s="114"/>
      <c r="J13" s="115"/>
      <c r="K13" s="79"/>
      <c r="L13" s="21" t="s">
        <v>122</v>
      </c>
      <c r="Q13" s="96">
        <f>36.8+178.6+206.1</f>
        <v>421.5</v>
      </c>
    </row>
    <row r="14" spans="1:17" ht="387.75" customHeight="1">
      <c r="A14" s="22"/>
      <c r="B14" s="21"/>
      <c r="C14" s="114"/>
      <c r="D14" s="114"/>
      <c r="E14" s="114"/>
      <c r="F14" s="115"/>
      <c r="G14" s="114"/>
      <c r="H14" s="114"/>
      <c r="I14" s="114"/>
      <c r="J14" s="115"/>
      <c r="K14" s="79"/>
      <c r="L14" s="21" t="s">
        <v>123</v>
      </c>
      <c r="P14" s="91">
        <f>10+170.6+386.7+925.5+1.5+7.2+108.8+63.8+29.3+30.5+15</f>
        <v>1748.8999999999999</v>
      </c>
      <c r="Q14" s="96">
        <f>1204.5+317.1+186.7+386.7+925.5+1.5+22.2+15.6+162.4+46.6+96.3+29.3+981.3+767.9+748.7+50+78.2+15</f>
        <v>6035.4999999999991</v>
      </c>
    </row>
    <row r="15" spans="1:17" ht="93.75">
      <c r="A15" s="22"/>
      <c r="B15" s="21"/>
      <c r="C15" s="114"/>
      <c r="D15" s="114"/>
      <c r="E15" s="114"/>
      <c r="F15" s="115"/>
      <c r="G15" s="114"/>
      <c r="H15" s="114"/>
      <c r="I15" s="114"/>
      <c r="J15" s="115"/>
      <c r="K15" s="79"/>
      <c r="L15" s="21" t="s">
        <v>124</v>
      </c>
    </row>
    <row r="16" spans="1:17" hidden="1">
      <c r="A16" s="22"/>
      <c r="B16" s="21"/>
      <c r="C16" s="114"/>
      <c r="D16" s="114"/>
      <c r="E16" s="114"/>
      <c r="F16" s="115"/>
      <c r="G16" s="114"/>
      <c r="H16" s="114"/>
      <c r="I16" s="114"/>
      <c r="J16" s="115"/>
      <c r="K16" s="79"/>
      <c r="L16" s="21"/>
    </row>
    <row r="17" spans="1:17" ht="75">
      <c r="A17" s="22"/>
      <c r="B17" s="21"/>
      <c r="C17" s="114"/>
      <c r="D17" s="114"/>
      <c r="E17" s="114"/>
      <c r="F17" s="115"/>
      <c r="G17" s="114"/>
      <c r="H17" s="114"/>
      <c r="I17" s="114"/>
      <c r="J17" s="115"/>
      <c r="K17" s="79"/>
      <c r="L17" s="21" t="s">
        <v>125</v>
      </c>
      <c r="P17" s="91">
        <f>20155.5+8.8+536.6+296.1</f>
        <v>20996.999999999996</v>
      </c>
      <c r="Q17" s="96">
        <v>56526.5</v>
      </c>
    </row>
    <row r="18" spans="1:17" ht="37.5">
      <c r="A18" s="22"/>
      <c r="B18" s="21"/>
      <c r="C18" s="114"/>
      <c r="D18" s="114"/>
      <c r="E18" s="114"/>
      <c r="F18" s="115"/>
      <c r="G18" s="114"/>
      <c r="H18" s="114"/>
      <c r="I18" s="114"/>
      <c r="J18" s="115"/>
      <c r="K18" s="79"/>
      <c r="L18" s="148" t="s">
        <v>126</v>
      </c>
      <c r="Q18" s="96">
        <v>1339</v>
      </c>
    </row>
    <row r="19" spans="1:17" hidden="1">
      <c r="A19" s="22"/>
      <c r="B19" s="21"/>
      <c r="C19" s="114"/>
      <c r="D19" s="114"/>
      <c r="E19" s="114"/>
      <c r="F19" s="115"/>
      <c r="G19" s="114"/>
      <c r="H19" s="114"/>
      <c r="I19" s="114"/>
      <c r="J19" s="115"/>
      <c r="K19" s="79"/>
      <c r="L19" s="21"/>
    </row>
    <row r="20" spans="1:17" hidden="1">
      <c r="A20" s="22"/>
      <c r="B20" s="21"/>
      <c r="C20" s="114"/>
      <c r="D20" s="114"/>
      <c r="E20" s="114"/>
      <c r="F20" s="115"/>
      <c r="G20" s="114"/>
      <c r="H20" s="114"/>
      <c r="I20" s="114"/>
      <c r="J20" s="115"/>
      <c r="K20" s="79"/>
      <c r="L20" s="148"/>
    </row>
    <row r="21" spans="1:17" ht="121.5" customHeight="1">
      <c r="A21" s="22"/>
      <c r="B21" s="21"/>
      <c r="C21" s="114"/>
      <c r="D21" s="114"/>
      <c r="E21" s="114"/>
      <c r="F21" s="115"/>
      <c r="G21" s="114"/>
      <c r="H21" s="114"/>
      <c r="I21" s="114"/>
      <c r="J21" s="115"/>
      <c r="K21" s="79"/>
      <c r="L21" s="21" t="s">
        <v>127</v>
      </c>
      <c r="P21" s="91">
        <f>11106.2+48.1+809.1+14598.1+17.7+2261+881.6+2263.8+466.2+3128.3</f>
        <v>35580.1</v>
      </c>
      <c r="Q21" s="96">
        <v>76047.7</v>
      </c>
    </row>
    <row r="22" spans="1:17" ht="56.25" customHeight="1">
      <c r="A22" s="22"/>
      <c r="B22" s="21"/>
      <c r="C22" s="114"/>
      <c r="D22" s="114"/>
      <c r="E22" s="114"/>
      <c r="F22" s="115"/>
      <c r="G22" s="114"/>
      <c r="H22" s="114"/>
      <c r="I22" s="114"/>
      <c r="J22" s="115"/>
      <c r="K22" s="79"/>
      <c r="L22" s="148" t="s">
        <v>103</v>
      </c>
      <c r="Q22" s="96">
        <v>1.1000000000000001</v>
      </c>
    </row>
    <row r="23" spans="1:17" ht="102.75" customHeight="1">
      <c r="A23" s="22"/>
      <c r="B23" s="21"/>
      <c r="C23" s="114"/>
      <c r="D23" s="114"/>
      <c r="E23" s="114"/>
      <c r="F23" s="115"/>
      <c r="G23" s="114"/>
      <c r="H23" s="114"/>
      <c r="I23" s="114"/>
      <c r="J23" s="115"/>
      <c r="K23" s="79"/>
      <c r="L23" s="21" t="s">
        <v>185</v>
      </c>
      <c r="Q23" s="96">
        <f>56.8+398.6</f>
        <v>455.40000000000003</v>
      </c>
    </row>
    <row r="24" spans="1:17" ht="409.5" customHeight="1">
      <c r="A24" s="22"/>
      <c r="B24" s="21"/>
      <c r="C24" s="114"/>
      <c r="D24" s="114"/>
      <c r="E24" s="114"/>
      <c r="F24" s="115"/>
      <c r="G24" s="114"/>
      <c r="H24" s="114"/>
      <c r="I24" s="114"/>
      <c r="J24" s="115"/>
      <c r="K24" s="80"/>
      <c r="L24" s="149" t="s">
        <v>132</v>
      </c>
      <c r="P24" s="91">
        <f>224.7+43.9+1289.2+1084.5+125+38+266+199.3+115.6+586.3+502.5+120.5</f>
        <v>4595.5</v>
      </c>
      <c r="Q24" s="96">
        <f>1422+3+783.2+3242.6+1279.3+398.1+38+3467.4+199.3+265.4+586.3</f>
        <v>11684.599999999999</v>
      </c>
    </row>
    <row r="25" spans="1:17" ht="315.75" customHeight="1">
      <c r="A25" s="22"/>
      <c r="B25" s="21"/>
      <c r="C25" s="114"/>
      <c r="D25" s="114"/>
      <c r="E25" s="114"/>
      <c r="F25" s="115"/>
      <c r="G25" s="114"/>
      <c r="H25" s="114"/>
      <c r="I25" s="114"/>
      <c r="J25" s="115"/>
      <c r="K25" s="80"/>
      <c r="L25" s="149" t="s">
        <v>128</v>
      </c>
      <c r="P25" s="91">
        <f>66.2+1.7+85.5+3106.5+57+262.5+163+700.8+30.4+34+20.2+30.3</f>
        <v>4558.0999999999995</v>
      </c>
      <c r="Q25" s="96">
        <f>542.5+150.4+111.7+40+13.3+85.5+4272.9</f>
        <v>5216.2999999999993</v>
      </c>
    </row>
    <row r="26" spans="1:17" ht="290.25" customHeight="1">
      <c r="A26" s="22"/>
      <c r="B26" s="21"/>
      <c r="C26" s="114"/>
      <c r="D26" s="114"/>
      <c r="E26" s="114"/>
      <c r="F26" s="115"/>
      <c r="G26" s="114"/>
      <c r="H26" s="114"/>
      <c r="I26" s="114"/>
      <c r="J26" s="115"/>
      <c r="K26" s="80"/>
      <c r="L26" s="150" t="s">
        <v>129</v>
      </c>
      <c r="Q26" s="96">
        <f>107+46.2+151+1689.8+262.5+145.4+163+199+45.8+1537.6+1267.2</f>
        <v>5614.5</v>
      </c>
    </row>
    <row r="27" spans="1:17" ht="213.75" customHeight="1">
      <c r="A27" s="22"/>
      <c r="B27" s="21"/>
      <c r="C27" s="114"/>
      <c r="D27" s="114"/>
      <c r="E27" s="114"/>
      <c r="F27" s="115"/>
      <c r="G27" s="114"/>
      <c r="H27" s="114"/>
      <c r="I27" s="114"/>
      <c r="J27" s="115"/>
      <c r="K27" s="80"/>
      <c r="L27" s="150" t="s">
        <v>130</v>
      </c>
      <c r="Q27" s="96">
        <f>26.5+22.2+37.4+32+34+260.3+20.2+30.3</f>
        <v>462.9</v>
      </c>
    </row>
    <row r="28" spans="1:17" hidden="1">
      <c r="A28" s="22"/>
      <c r="B28" s="21"/>
      <c r="C28" s="114"/>
      <c r="D28" s="114"/>
      <c r="E28" s="114"/>
      <c r="F28" s="115"/>
      <c r="G28" s="114"/>
      <c r="H28" s="114"/>
      <c r="I28" s="114"/>
      <c r="J28" s="115"/>
      <c r="K28" s="80"/>
      <c r="L28" s="149"/>
    </row>
    <row r="29" spans="1:17" hidden="1">
      <c r="A29" s="22"/>
      <c r="B29" s="21"/>
      <c r="C29" s="114"/>
      <c r="D29" s="114"/>
      <c r="E29" s="114"/>
      <c r="F29" s="115"/>
      <c r="G29" s="114"/>
      <c r="H29" s="114"/>
      <c r="I29" s="114"/>
      <c r="J29" s="115"/>
      <c r="K29" s="80"/>
      <c r="L29" s="149"/>
    </row>
    <row r="30" spans="1:17" ht="213.75" customHeight="1">
      <c r="A30" s="22"/>
      <c r="B30" s="21"/>
      <c r="C30" s="114"/>
      <c r="D30" s="114"/>
      <c r="E30" s="114"/>
      <c r="F30" s="115"/>
      <c r="G30" s="114"/>
      <c r="H30" s="114"/>
      <c r="I30" s="114"/>
      <c r="J30" s="115"/>
      <c r="K30" s="80"/>
      <c r="L30" s="149" t="s">
        <v>131</v>
      </c>
      <c r="Q30" s="96">
        <f>259687.8+64.4+1850.4+2853.6+2208.7+21707.5</f>
        <v>288372.39999999997</v>
      </c>
    </row>
    <row r="31" spans="1:17" ht="93.75">
      <c r="A31" s="22"/>
      <c r="B31" s="21"/>
      <c r="C31" s="114"/>
      <c r="D31" s="114"/>
      <c r="E31" s="114"/>
      <c r="F31" s="115"/>
      <c r="G31" s="114"/>
      <c r="H31" s="114"/>
      <c r="I31" s="114"/>
      <c r="J31" s="115"/>
      <c r="K31" s="80"/>
      <c r="L31" s="35" t="s">
        <v>137</v>
      </c>
      <c r="Q31" s="96">
        <f>102+591.84+591.84+295.92+591.84+591.84+295.92</f>
        <v>3061.2000000000003</v>
      </c>
    </row>
    <row r="32" spans="1:17" ht="80.25" customHeight="1">
      <c r="A32" s="22"/>
      <c r="B32" s="21"/>
      <c r="C32" s="114"/>
      <c r="D32" s="114"/>
      <c r="E32" s="114"/>
      <c r="F32" s="115"/>
      <c r="G32" s="114"/>
      <c r="H32" s="114"/>
      <c r="I32" s="114"/>
      <c r="J32" s="115"/>
      <c r="K32" s="80"/>
      <c r="L32" s="149" t="s">
        <v>133</v>
      </c>
      <c r="Q32" s="96">
        <f>1865.5+12042.9</f>
        <v>13908.4</v>
      </c>
    </row>
    <row r="33" spans="1:18" ht="42.75" customHeight="1">
      <c r="A33" s="22"/>
      <c r="B33" s="21"/>
      <c r="C33" s="114"/>
      <c r="D33" s="114"/>
      <c r="E33" s="114"/>
      <c r="F33" s="115"/>
      <c r="G33" s="114"/>
      <c r="H33" s="114"/>
      <c r="I33" s="114"/>
      <c r="J33" s="115"/>
      <c r="K33" s="80"/>
      <c r="L33" s="149" t="s">
        <v>134</v>
      </c>
      <c r="Q33" s="96">
        <v>59.4</v>
      </c>
    </row>
    <row r="34" spans="1:18" ht="177" customHeight="1">
      <c r="A34" s="23"/>
      <c r="B34" s="21"/>
      <c r="C34" s="114"/>
      <c r="D34" s="114"/>
      <c r="E34" s="114"/>
      <c r="F34" s="115"/>
      <c r="G34" s="114"/>
      <c r="H34" s="114"/>
      <c r="I34" s="114"/>
      <c r="J34" s="115"/>
      <c r="K34" s="80"/>
      <c r="L34" s="149" t="s">
        <v>135</v>
      </c>
      <c r="Q34" s="96">
        <f>5642.7+13201.9</f>
        <v>18844.599999999999</v>
      </c>
    </row>
    <row r="35" spans="1:18" ht="75" hidden="1">
      <c r="A35" s="22"/>
      <c r="B35" s="21"/>
      <c r="C35" s="114"/>
      <c r="D35" s="114"/>
      <c r="E35" s="114"/>
      <c r="F35" s="115"/>
      <c r="G35" s="114"/>
      <c r="H35" s="114"/>
      <c r="I35" s="114"/>
      <c r="J35" s="115"/>
      <c r="K35" s="80"/>
      <c r="L35" s="149" t="s">
        <v>94</v>
      </c>
    </row>
    <row r="36" spans="1:18" ht="101.25" customHeight="1">
      <c r="A36" s="23"/>
      <c r="B36" s="21"/>
      <c r="C36" s="114"/>
      <c r="D36" s="114"/>
      <c r="E36" s="114"/>
      <c r="F36" s="115"/>
      <c r="G36" s="114"/>
      <c r="H36" s="114"/>
      <c r="I36" s="114"/>
      <c r="J36" s="115"/>
      <c r="K36" s="80"/>
      <c r="L36" s="149" t="s">
        <v>136</v>
      </c>
      <c r="Q36" s="96">
        <v>56.1</v>
      </c>
    </row>
    <row r="37" spans="1:18" hidden="1">
      <c r="A37" s="24"/>
      <c r="B37" s="21"/>
      <c r="C37" s="114"/>
      <c r="D37" s="116"/>
      <c r="E37" s="114"/>
      <c r="F37" s="115"/>
      <c r="G37" s="114"/>
      <c r="H37" s="114"/>
      <c r="I37" s="114"/>
      <c r="J37" s="115"/>
      <c r="K37" s="80"/>
      <c r="L37" s="160"/>
    </row>
    <row r="38" spans="1:18" ht="258.75" customHeight="1">
      <c r="A38" s="13" t="s">
        <v>63</v>
      </c>
      <c r="B38" s="25" t="s">
        <v>1</v>
      </c>
      <c r="C38" s="117">
        <v>62552.324910000003</v>
      </c>
      <c r="D38" s="117"/>
      <c r="E38" s="117"/>
      <c r="F38" s="118">
        <f>E38+D38+C38</f>
        <v>62552.324910000003</v>
      </c>
      <c r="G38" s="117">
        <v>32040.403350000001</v>
      </c>
      <c r="H38" s="117"/>
      <c r="I38" s="117"/>
      <c r="J38" s="107">
        <f>I38+H38+G38</f>
        <v>32040.403350000001</v>
      </c>
      <c r="K38" s="77">
        <f>J38*100/F38</f>
        <v>51.221762574132271</v>
      </c>
      <c r="L38" s="15" t="s">
        <v>138</v>
      </c>
    </row>
    <row r="39" spans="1:18" ht="42" hidden="1" customHeight="1">
      <c r="A39" s="20"/>
      <c r="B39" s="26"/>
      <c r="C39" s="119"/>
      <c r="D39" s="119"/>
      <c r="E39" s="119"/>
      <c r="F39" s="120"/>
      <c r="G39" s="119"/>
      <c r="H39" s="119"/>
      <c r="I39" s="119"/>
      <c r="J39" s="121"/>
      <c r="K39" s="79"/>
      <c r="L39" s="21" t="s">
        <v>93</v>
      </c>
    </row>
    <row r="40" spans="1:18" ht="177.75" customHeight="1">
      <c r="A40" s="23"/>
      <c r="B40" s="26"/>
      <c r="C40" s="119"/>
      <c r="D40" s="119"/>
      <c r="E40" s="119"/>
      <c r="F40" s="120"/>
      <c r="G40" s="119"/>
      <c r="H40" s="119"/>
      <c r="I40" s="119"/>
      <c r="J40" s="121"/>
      <c r="K40" s="79"/>
      <c r="L40" s="21" t="s">
        <v>139</v>
      </c>
    </row>
    <row r="41" spans="1:18" ht="120" customHeight="1">
      <c r="A41" s="23"/>
      <c r="B41" s="26"/>
      <c r="C41" s="119"/>
      <c r="D41" s="119"/>
      <c r="E41" s="119"/>
      <c r="F41" s="120"/>
      <c r="G41" s="119"/>
      <c r="H41" s="119"/>
      <c r="I41" s="119"/>
      <c r="J41" s="121"/>
      <c r="K41" s="79"/>
      <c r="L41" s="21" t="s">
        <v>140</v>
      </c>
      <c r="Q41" s="96">
        <f>9.5+7.5+52+14.5</f>
        <v>83.5</v>
      </c>
    </row>
    <row r="42" spans="1:18" ht="84.75" customHeight="1">
      <c r="A42" s="24"/>
      <c r="B42" s="27"/>
      <c r="C42" s="122"/>
      <c r="D42" s="123"/>
      <c r="E42" s="119"/>
      <c r="F42" s="120"/>
      <c r="G42" s="119"/>
      <c r="H42" s="119"/>
      <c r="I42" s="119"/>
      <c r="J42" s="121"/>
      <c r="K42" s="81"/>
      <c r="L42" s="21" t="s">
        <v>141</v>
      </c>
    </row>
    <row r="43" spans="1:18" ht="353.25" customHeight="1">
      <c r="A43" s="28" t="s">
        <v>64</v>
      </c>
      <c r="B43" s="29" t="s">
        <v>37</v>
      </c>
      <c r="C43" s="124">
        <v>262</v>
      </c>
      <c r="D43" s="125"/>
      <c r="E43" s="124"/>
      <c r="F43" s="111">
        <f>E43+D43+C43</f>
        <v>262</v>
      </c>
      <c r="G43" s="126">
        <v>115.06876</v>
      </c>
      <c r="H43" s="126"/>
      <c r="I43" s="126"/>
      <c r="J43" s="127">
        <f>I43+H43+G43</f>
        <v>115.06876</v>
      </c>
      <c r="K43" s="82">
        <f>J43*100/F43</f>
        <v>43.919374045801526</v>
      </c>
      <c r="L43" s="15" t="s">
        <v>142</v>
      </c>
      <c r="Q43" s="96">
        <f>6+3+2+34+20+5+6+1+2+1+16+1+4+4+1+9.1</f>
        <v>115.1</v>
      </c>
    </row>
    <row r="44" spans="1:18" ht="250.5" hidden="1" customHeight="1">
      <c r="A44" s="13"/>
      <c r="B44" s="25"/>
      <c r="C44" s="117"/>
      <c r="D44" s="128"/>
      <c r="E44" s="117"/>
      <c r="F44" s="118"/>
      <c r="G44" s="129"/>
      <c r="H44" s="129"/>
      <c r="I44" s="129"/>
      <c r="J44" s="107"/>
      <c r="K44" s="77"/>
      <c r="L44" s="15"/>
    </row>
    <row r="45" spans="1:18" ht="235.5" customHeight="1">
      <c r="A45" s="30" t="s">
        <v>28</v>
      </c>
      <c r="B45" s="31" t="s">
        <v>87</v>
      </c>
      <c r="C45" s="118">
        <v>5051.2020000000002</v>
      </c>
      <c r="D45" s="118">
        <v>455</v>
      </c>
      <c r="E45" s="117"/>
      <c r="F45" s="118">
        <f>E45+D45+C45</f>
        <v>5506.2020000000002</v>
      </c>
      <c r="G45" s="118">
        <v>2660.1111000000001</v>
      </c>
      <c r="H45" s="118">
        <f>157.63952-0.01</f>
        <v>157.62952000000001</v>
      </c>
      <c r="I45" s="118"/>
      <c r="J45" s="118">
        <f>I45+H45+G45</f>
        <v>2817.74062</v>
      </c>
      <c r="K45" s="83">
        <f>J45*100/F45</f>
        <v>51.173942038450456</v>
      </c>
      <c r="L45" s="15" t="s">
        <v>110</v>
      </c>
      <c r="Q45" s="96">
        <f>2424.1+21.4+160.8+211.4</f>
        <v>2817.7000000000003</v>
      </c>
    </row>
    <row r="46" spans="1:18" ht="56.25">
      <c r="A46" s="30" t="s">
        <v>29</v>
      </c>
      <c r="B46" s="32" t="s">
        <v>86</v>
      </c>
      <c r="C46" s="111">
        <f t="shared" ref="C46:I46" si="1">C47+C56+C68+C72+C73</f>
        <v>102635.52109000001</v>
      </c>
      <c r="D46" s="111">
        <f t="shared" si="1"/>
        <v>471.911</v>
      </c>
      <c r="E46" s="111">
        <f t="shared" si="1"/>
        <v>165.816</v>
      </c>
      <c r="F46" s="111">
        <f t="shared" si="1"/>
        <v>103273.24808999999</v>
      </c>
      <c r="G46" s="111">
        <f t="shared" si="1"/>
        <v>45161.012929999997</v>
      </c>
      <c r="H46" s="111">
        <f t="shared" si="1"/>
        <v>206.69855999999999</v>
      </c>
      <c r="I46" s="111">
        <f t="shared" si="1"/>
        <v>165.81595999999999</v>
      </c>
      <c r="J46" s="111">
        <f>I46+H46+G46</f>
        <v>45533.527449999994</v>
      </c>
      <c r="K46" s="78">
        <f>J46*100/F46</f>
        <v>44.090341198834658</v>
      </c>
      <c r="L46" s="95"/>
    </row>
    <row r="47" spans="1:18" ht="151.5" customHeight="1">
      <c r="A47" s="13" t="s">
        <v>65</v>
      </c>
      <c r="B47" s="33" t="s">
        <v>3</v>
      </c>
      <c r="C47" s="129">
        <v>26016.379260000002</v>
      </c>
      <c r="D47" s="129"/>
      <c r="E47" s="129"/>
      <c r="F47" s="107">
        <f>E47+D47+C47</f>
        <v>26016.379260000002</v>
      </c>
      <c r="G47" s="129">
        <v>11632.249610000001</v>
      </c>
      <c r="H47" s="129"/>
      <c r="I47" s="129"/>
      <c r="J47" s="107">
        <f>I47+H47+G47</f>
        <v>11632.249610000001</v>
      </c>
      <c r="K47" s="77">
        <f>J47*100/F47</f>
        <v>44.711254758976018</v>
      </c>
      <c r="L47" s="15" t="s">
        <v>164</v>
      </c>
      <c r="Q47" s="96">
        <f>5853.2+1454.9+55.8+1014.2+194.8+180.5+71+169.6+16.8+113.8+150.4</f>
        <v>9274.9999999999982</v>
      </c>
    </row>
    <row r="48" spans="1:18" ht="409.5" customHeight="1">
      <c r="A48" s="20"/>
      <c r="B48" s="35"/>
      <c r="C48" s="108"/>
      <c r="D48" s="108"/>
      <c r="E48" s="108"/>
      <c r="F48" s="121"/>
      <c r="G48" s="108"/>
      <c r="H48" s="108"/>
      <c r="I48" s="108"/>
      <c r="J48" s="121"/>
      <c r="K48" s="79"/>
      <c r="L48" s="21" t="s">
        <v>161</v>
      </c>
      <c r="Q48" s="96">
        <f>18+559.25+15.4+15+7.5+10+26.4+15+12+7.4+1+11.25+24.4+8.3+10.34+5.75+14.35+271.16+20.2+71.2+8.1+45.1+9.4+11.4+6+49.6+17.1</f>
        <v>1270.5999999999999</v>
      </c>
      <c r="R48" s="90"/>
    </row>
    <row r="49" spans="1:18" ht="160.5" customHeight="1">
      <c r="A49" s="20"/>
      <c r="B49" s="35"/>
      <c r="C49" s="108"/>
      <c r="D49" s="108"/>
      <c r="E49" s="108"/>
      <c r="F49" s="121"/>
      <c r="G49" s="108"/>
      <c r="H49" s="108"/>
      <c r="I49" s="108"/>
      <c r="J49" s="121"/>
      <c r="K49" s="79"/>
      <c r="L49" s="21" t="s">
        <v>162</v>
      </c>
    </row>
    <row r="50" spans="1:18" ht="162" hidden="1" customHeight="1">
      <c r="A50" s="20"/>
      <c r="B50" s="35"/>
      <c r="C50" s="108"/>
      <c r="D50" s="108"/>
      <c r="E50" s="108"/>
      <c r="F50" s="121"/>
      <c r="G50" s="108"/>
      <c r="H50" s="108"/>
      <c r="I50" s="108"/>
      <c r="J50" s="121"/>
      <c r="K50" s="79"/>
      <c r="L50" s="21"/>
    </row>
    <row r="51" spans="1:18" ht="81.75" customHeight="1">
      <c r="A51" s="20"/>
      <c r="B51" s="35"/>
      <c r="C51" s="108"/>
      <c r="D51" s="108"/>
      <c r="E51" s="108"/>
      <c r="F51" s="121"/>
      <c r="G51" s="108"/>
      <c r="H51" s="108"/>
      <c r="I51" s="108"/>
      <c r="J51" s="121"/>
      <c r="K51" s="79"/>
      <c r="L51" s="21" t="s">
        <v>96</v>
      </c>
      <c r="Q51" s="96">
        <v>46.2</v>
      </c>
    </row>
    <row r="52" spans="1:18" ht="106.5" customHeight="1">
      <c r="A52" s="20"/>
      <c r="B52" s="35"/>
      <c r="C52" s="108"/>
      <c r="D52" s="108"/>
      <c r="E52" s="108"/>
      <c r="F52" s="121"/>
      <c r="G52" s="108"/>
      <c r="H52" s="108"/>
      <c r="I52" s="108"/>
      <c r="J52" s="121"/>
      <c r="K52" s="79"/>
      <c r="L52" s="21" t="s">
        <v>163</v>
      </c>
      <c r="Q52" s="96">
        <f>244.1+213.6+147.4+435.3</f>
        <v>1040.4000000000001</v>
      </c>
    </row>
    <row r="53" spans="1:18" ht="81.75" hidden="1" customHeight="1">
      <c r="A53" s="20"/>
      <c r="B53" s="35"/>
      <c r="C53" s="108"/>
      <c r="D53" s="108"/>
      <c r="E53" s="108"/>
      <c r="F53" s="121"/>
      <c r="G53" s="108"/>
      <c r="H53" s="108"/>
      <c r="I53" s="108"/>
      <c r="J53" s="121"/>
      <c r="K53" s="79"/>
      <c r="L53" s="148"/>
    </row>
    <row r="54" spans="1:18" ht="132.75" hidden="1" customHeight="1">
      <c r="A54" s="20"/>
      <c r="B54" s="35"/>
      <c r="C54" s="108"/>
      <c r="D54" s="108"/>
      <c r="E54" s="108"/>
      <c r="F54" s="121"/>
      <c r="G54" s="108"/>
      <c r="H54" s="108"/>
      <c r="I54" s="108"/>
      <c r="J54" s="121"/>
      <c r="K54" s="79"/>
      <c r="L54" s="148"/>
    </row>
    <row r="55" spans="1:18" ht="191.25" hidden="1" customHeight="1">
      <c r="A55" s="34"/>
      <c r="B55" s="35"/>
      <c r="C55" s="108"/>
      <c r="D55" s="108"/>
      <c r="E55" s="108"/>
      <c r="F55" s="121"/>
      <c r="G55" s="108"/>
      <c r="H55" s="108"/>
      <c r="I55" s="108"/>
      <c r="J55" s="121"/>
      <c r="K55" s="79"/>
      <c r="L55" s="152"/>
    </row>
    <row r="56" spans="1:18" ht="139.5" customHeight="1">
      <c r="A56" s="13" t="s">
        <v>66</v>
      </c>
      <c r="B56" s="36" t="s">
        <v>2</v>
      </c>
      <c r="C56" s="117">
        <f>44669.93148-0.01</f>
        <v>44669.921479999997</v>
      </c>
      <c r="D56" s="117">
        <v>471.911</v>
      </c>
      <c r="E56" s="117">
        <v>165.816</v>
      </c>
      <c r="F56" s="118">
        <f>E56+D56+C56</f>
        <v>45307.648479999996</v>
      </c>
      <c r="G56" s="117">
        <v>18637.589919999999</v>
      </c>
      <c r="H56" s="117">
        <v>206.69855999999999</v>
      </c>
      <c r="I56" s="117">
        <v>165.81595999999999</v>
      </c>
      <c r="J56" s="118">
        <f>G56+I56+H56+0.001</f>
        <v>19010.105439999999</v>
      </c>
      <c r="K56" s="83">
        <f>J56*100/F56</f>
        <v>41.95782848538601</v>
      </c>
      <c r="L56" s="37" t="s">
        <v>165</v>
      </c>
      <c r="Q56" s="96">
        <f>9890+2486.2+95.9+627.6+81.2+140.3+43.5+3.2+30.6</f>
        <v>13398.500000000002</v>
      </c>
    </row>
    <row r="57" spans="1:18" ht="349.5" customHeight="1">
      <c r="A57" s="20"/>
      <c r="B57" s="38"/>
      <c r="C57" s="119"/>
      <c r="D57" s="119"/>
      <c r="E57" s="119"/>
      <c r="F57" s="120"/>
      <c r="G57" s="119"/>
      <c r="H57" s="119"/>
      <c r="I57" s="119"/>
      <c r="J57" s="120"/>
      <c r="K57" s="84"/>
      <c r="L57" s="148" t="s">
        <v>187</v>
      </c>
      <c r="Q57" s="96">
        <f>168.6+300+100.8+30.5+20+35+445+136.45+10.2+1.9+8.1+5+2+0.75</f>
        <v>1264.3000000000002</v>
      </c>
    </row>
    <row r="58" spans="1:18" ht="77.25" customHeight="1">
      <c r="A58" s="20"/>
      <c r="B58" s="38"/>
      <c r="C58" s="119"/>
      <c r="D58" s="119"/>
      <c r="E58" s="119"/>
      <c r="F58" s="120"/>
      <c r="G58" s="119"/>
      <c r="H58" s="119"/>
      <c r="I58" s="119"/>
      <c r="J58" s="120"/>
      <c r="K58" s="84"/>
      <c r="L58" s="148" t="s">
        <v>166</v>
      </c>
      <c r="Q58" s="96">
        <f>188.3+3.8</f>
        <v>192.10000000000002</v>
      </c>
    </row>
    <row r="59" spans="1:18" ht="64.5" customHeight="1">
      <c r="A59" s="20"/>
      <c r="B59" s="38"/>
      <c r="C59" s="119"/>
      <c r="D59" s="119"/>
      <c r="E59" s="119"/>
      <c r="F59" s="120"/>
      <c r="G59" s="119"/>
      <c r="H59" s="119"/>
      <c r="I59" s="119"/>
      <c r="J59" s="120"/>
      <c r="K59" s="84"/>
      <c r="L59" s="148" t="s">
        <v>97</v>
      </c>
      <c r="Q59" s="96">
        <v>188</v>
      </c>
    </row>
    <row r="60" spans="1:18" ht="183" customHeight="1">
      <c r="A60" s="20"/>
      <c r="B60" s="38"/>
      <c r="C60" s="119"/>
      <c r="D60" s="119"/>
      <c r="E60" s="119"/>
      <c r="F60" s="120"/>
      <c r="G60" s="119"/>
      <c r="H60" s="119"/>
      <c r="I60" s="119"/>
      <c r="J60" s="120"/>
      <c r="K60" s="84"/>
      <c r="L60" s="148" t="s">
        <v>167</v>
      </c>
      <c r="Q60" s="97">
        <v>1922.8</v>
      </c>
    </row>
    <row r="61" spans="1:18" ht="408.75" customHeight="1">
      <c r="A61" s="20"/>
      <c r="B61" s="38"/>
      <c r="C61" s="119"/>
      <c r="D61" s="119"/>
      <c r="E61" s="119"/>
      <c r="F61" s="120"/>
      <c r="G61" s="119"/>
      <c r="H61" s="119"/>
      <c r="I61" s="119"/>
      <c r="J61" s="120"/>
      <c r="K61" s="84"/>
      <c r="L61" s="148" t="s">
        <v>186</v>
      </c>
      <c r="Q61" s="96">
        <f>2.7+3.3+5+4.8+1.65+1.65+296.2+7+7.5+3.25+2.95+314+4.9+120+34+100+14.3+5+12+1+1.98+400+0.55+4.8+5.85+0.6+5.6+20+7.2+10.4+373+5.1+6.6+7.6+4.4+7.4+46.32</f>
        <v>1848.5999999999995</v>
      </c>
      <c r="R61" s="90"/>
    </row>
    <row r="62" spans="1:18" ht="389.25" customHeight="1">
      <c r="A62" s="20"/>
      <c r="B62" s="38"/>
      <c r="C62" s="119"/>
      <c r="D62" s="119"/>
      <c r="E62" s="119"/>
      <c r="F62" s="120"/>
      <c r="G62" s="119"/>
      <c r="H62" s="119"/>
      <c r="I62" s="119"/>
      <c r="J62" s="120"/>
      <c r="K62" s="84"/>
      <c r="L62" s="21" t="s">
        <v>168</v>
      </c>
      <c r="R62" s="90"/>
    </row>
    <row r="63" spans="1:18" ht="120.75" customHeight="1">
      <c r="A63" s="20"/>
      <c r="B63" s="38"/>
      <c r="C63" s="119"/>
      <c r="D63" s="119"/>
      <c r="E63" s="119"/>
      <c r="F63" s="120"/>
      <c r="G63" s="119"/>
      <c r="H63" s="119"/>
      <c r="I63" s="119"/>
      <c r="J63" s="120"/>
      <c r="K63" s="84"/>
      <c r="L63" s="148" t="s">
        <v>169</v>
      </c>
      <c r="Q63" s="153">
        <f>29.5+25+15+70.3+11.2</f>
        <v>151</v>
      </c>
    </row>
    <row r="64" spans="1:18" ht="66.75" customHeight="1">
      <c r="A64" s="20"/>
      <c r="B64" s="38"/>
      <c r="C64" s="119"/>
      <c r="D64" s="119"/>
      <c r="E64" s="119"/>
      <c r="F64" s="120"/>
      <c r="G64" s="119"/>
      <c r="H64" s="119"/>
      <c r="I64" s="119"/>
      <c r="J64" s="120"/>
      <c r="K64" s="84"/>
      <c r="L64" s="148" t="s">
        <v>170</v>
      </c>
      <c r="Q64" s="96">
        <v>44.8</v>
      </c>
    </row>
    <row r="65" spans="1:17" ht="56.25" hidden="1">
      <c r="A65" s="20"/>
      <c r="B65" s="38"/>
      <c r="C65" s="119"/>
      <c r="D65" s="119"/>
      <c r="E65" s="119"/>
      <c r="F65" s="120"/>
      <c r="G65" s="119"/>
      <c r="H65" s="119"/>
      <c r="I65" s="119"/>
      <c r="J65" s="120"/>
      <c r="K65" s="84"/>
      <c r="L65" s="148" t="s">
        <v>98</v>
      </c>
    </row>
    <row r="66" spans="1:17" hidden="1">
      <c r="A66" s="20"/>
      <c r="B66" s="38"/>
      <c r="C66" s="119"/>
      <c r="D66" s="119"/>
      <c r="E66" s="119"/>
      <c r="F66" s="120"/>
      <c r="G66" s="119"/>
      <c r="H66" s="119"/>
      <c r="I66" s="119"/>
      <c r="J66" s="120"/>
      <c r="K66" s="84"/>
      <c r="L66" s="148"/>
    </row>
    <row r="67" spans="1:17" hidden="1">
      <c r="A67" s="20"/>
      <c r="B67" s="38"/>
      <c r="C67" s="119"/>
      <c r="D67" s="119"/>
      <c r="E67" s="119"/>
      <c r="F67" s="120"/>
      <c r="G67" s="119"/>
      <c r="H67" s="119"/>
      <c r="I67" s="119"/>
      <c r="J67" s="120"/>
      <c r="K67" s="84"/>
      <c r="L67" s="148"/>
    </row>
    <row r="68" spans="1:17" ht="100.5" customHeight="1">
      <c r="A68" s="13" t="s">
        <v>67</v>
      </c>
      <c r="B68" s="14" t="s">
        <v>4</v>
      </c>
      <c r="C68" s="117">
        <v>1593.2</v>
      </c>
      <c r="D68" s="117"/>
      <c r="E68" s="117"/>
      <c r="F68" s="118">
        <f>E68+D68+C68</f>
        <v>1593.2</v>
      </c>
      <c r="G68" s="117">
        <v>698.26454999999999</v>
      </c>
      <c r="H68" s="117"/>
      <c r="I68" s="117"/>
      <c r="J68" s="118">
        <f>G68+H68+I68</f>
        <v>698.26454999999999</v>
      </c>
      <c r="K68" s="83">
        <f>J68/F68*100</f>
        <v>43.827802535777053</v>
      </c>
      <c r="L68" s="15" t="s">
        <v>171</v>
      </c>
      <c r="Q68" s="96">
        <f>18.8+141+67.9</f>
        <v>227.70000000000002</v>
      </c>
    </row>
    <row r="69" spans="1:17" ht="408.75" customHeight="1">
      <c r="A69" s="20"/>
      <c r="B69" s="68"/>
      <c r="C69" s="119"/>
      <c r="D69" s="119"/>
      <c r="E69" s="119"/>
      <c r="F69" s="120"/>
      <c r="G69" s="119"/>
      <c r="H69" s="119"/>
      <c r="I69" s="119"/>
      <c r="J69" s="120"/>
      <c r="K69" s="84"/>
      <c r="L69" s="21" t="s">
        <v>188</v>
      </c>
      <c r="Q69" s="96">
        <f>14.2+7+5+10+30+4+2.1+5.4+6.6+15+2.7+8.1+11.5+0.9+29.3+20.4+12.5+5+1.6+25.2+8+3+11.8+29.7+1</f>
        <v>270</v>
      </c>
    </row>
    <row r="70" spans="1:17" ht="123" customHeight="1">
      <c r="A70" s="20"/>
      <c r="B70" s="68"/>
      <c r="C70" s="119"/>
      <c r="D70" s="119"/>
      <c r="E70" s="119"/>
      <c r="F70" s="120"/>
      <c r="G70" s="119"/>
      <c r="H70" s="119"/>
      <c r="I70" s="119"/>
      <c r="J70" s="120"/>
      <c r="K70" s="84"/>
      <c r="L70" s="21" t="s">
        <v>189</v>
      </c>
    </row>
    <row r="71" spans="1:17" ht="144" customHeight="1">
      <c r="A71" s="20"/>
      <c r="B71" s="40"/>
      <c r="C71" s="122"/>
      <c r="D71" s="122"/>
      <c r="E71" s="122"/>
      <c r="F71" s="130"/>
      <c r="G71" s="122"/>
      <c r="H71" s="122"/>
      <c r="I71" s="122"/>
      <c r="J71" s="130"/>
      <c r="K71" s="85"/>
      <c r="L71" s="39" t="s">
        <v>172</v>
      </c>
      <c r="Q71" s="96">
        <f>48.45+15+22+103.05+12.1</f>
        <v>200.6</v>
      </c>
    </row>
    <row r="72" spans="1:17" ht="175.5" customHeight="1">
      <c r="A72" s="13" t="s">
        <v>68</v>
      </c>
      <c r="B72" s="41" t="s">
        <v>39</v>
      </c>
      <c r="C72" s="124">
        <v>28151.083350000001</v>
      </c>
      <c r="D72" s="124"/>
      <c r="E72" s="124"/>
      <c r="F72" s="111">
        <f>E72+D72+C72</f>
        <v>28151.083350000001</v>
      </c>
      <c r="G72" s="126">
        <v>13296.910159999999</v>
      </c>
      <c r="H72" s="126"/>
      <c r="I72" s="126"/>
      <c r="J72" s="127">
        <f>I72+H72+G72</f>
        <v>13296.910159999999</v>
      </c>
      <c r="K72" s="82">
        <f>J72*100/F72</f>
        <v>47.234097511206429</v>
      </c>
      <c r="L72" s="95" t="s">
        <v>191</v>
      </c>
    </row>
    <row r="73" spans="1:17" ht="105" customHeight="1">
      <c r="A73" s="13" t="s">
        <v>69</v>
      </c>
      <c r="B73" s="66" t="s">
        <v>6</v>
      </c>
      <c r="C73" s="117">
        <v>2204.9369999999999</v>
      </c>
      <c r="D73" s="117"/>
      <c r="E73" s="118"/>
      <c r="F73" s="118">
        <f>E73+D73+C73</f>
        <v>2204.9369999999999</v>
      </c>
      <c r="G73" s="117">
        <v>895.99869000000001</v>
      </c>
      <c r="H73" s="117"/>
      <c r="I73" s="117"/>
      <c r="J73" s="118">
        <f>I73+H73+G73</f>
        <v>895.99869000000001</v>
      </c>
      <c r="K73" s="83">
        <f>J73*100/F73</f>
        <v>40.63602225369705</v>
      </c>
      <c r="L73" s="15" t="s">
        <v>173</v>
      </c>
    </row>
    <row r="74" spans="1:17" ht="244.5" customHeight="1">
      <c r="A74" s="20"/>
      <c r="B74" s="67"/>
      <c r="C74" s="119"/>
      <c r="D74" s="131"/>
      <c r="E74" s="120"/>
      <c r="F74" s="120"/>
      <c r="G74" s="119"/>
      <c r="H74" s="119"/>
      <c r="I74" s="119"/>
      <c r="J74" s="120"/>
      <c r="K74" s="84"/>
      <c r="L74" s="21" t="s">
        <v>174</v>
      </c>
      <c r="Q74" s="97">
        <f>2.5+4.9+6.4+37+14.9+50+10+1.9+25.4+4.8+4.7</f>
        <v>162.5</v>
      </c>
    </row>
    <row r="75" spans="1:17" hidden="1">
      <c r="A75" s="20"/>
      <c r="B75" s="67"/>
      <c r="C75" s="119"/>
      <c r="D75" s="131"/>
      <c r="E75" s="120"/>
      <c r="F75" s="120"/>
      <c r="G75" s="119"/>
      <c r="H75" s="119"/>
      <c r="I75" s="119"/>
      <c r="J75" s="120"/>
      <c r="K75" s="84"/>
      <c r="L75" s="21"/>
    </row>
    <row r="76" spans="1:17" ht="273.75" customHeight="1">
      <c r="A76" s="30" t="s">
        <v>31</v>
      </c>
      <c r="B76" s="166" t="s">
        <v>76</v>
      </c>
      <c r="C76" s="118">
        <f>14833.6666+0.01</f>
        <v>14833.676600000001</v>
      </c>
      <c r="D76" s="118">
        <f>1464.677</f>
        <v>1464.6769999999999</v>
      </c>
      <c r="E76" s="118">
        <v>115303</v>
      </c>
      <c r="F76" s="118">
        <f>E76+D76+C76</f>
        <v>131601.3536</v>
      </c>
      <c r="G76" s="118">
        <f>5746.8043</f>
        <v>5746.8042999999998</v>
      </c>
      <c r="H76" s="118">
        <v>501.00945000000002</v>
      </c>
      <c r="I76" s="118">
        <v>19899.932150000001</v>
      </c>
      <c r="J76" s="118">
        <f>I76+H76+G76</f>
        <v>26147.745900000002</v>
      </c>
      <c r="K76" s="83">
        <f>J76*100/F76</f>
        <v>19.868903460883555</v>
      </c>
      <c r="L76" s="37" t="s">
        <v>190</v>
      </c>
      <c r="Q76" s="96">
        <f>13.6+6.6+4.6+14+11.5+5.9+6.6+17.5+11.5+3.5</f>
        <v>95.3</v>
      </c>
    </row>
    <row r="77" spans="1:17" ht="69" customHeight="1">
      <c r="A77" s="43"/>
      <c r="B77" s="167"/>
      <c r="C77" s="120"/>
      <c r="D77" s="120"/>
      <c r="E77" s="119"/>
      <c r="F77" s="120"/>
      <c r="G77" s="120"/>
      <c r="H77" s="120"/>
      <c r="I77" s="120"/>
      <c r="J77" s="120"/>
      <c r="K77" s="84"/>
      <c r="L77" s="148" t="s">
        <v>146</v>
      </c>
    </row>
    <row r="78" spans="1:17" ht="46.5" customHeight="1">
      <c r="A78" s="43"/>
      <c r="B78" s="167"/>
      <c r="C78" s="120"/>
      <c r="D78" s="120"/>
      <c r="E78" s="119"/>
      <c r="F78" s="120"/>
      <c r="G78" s="120"/>
      <c r="H78" s="120"/>
      <c r="I78" s="120"/>
      <c r="J78" s="120"/>
      <c r="K78" s="84"/>
      <c r="L78" s="148" t="s">
        <v>143</v>
      </c>
    </row>
    <row r="79" spans="1:17" ht="42.75" customHeight="1">
      <c r="A79" s="43"/>
      <c r="B79" s="167"/>
      <c r="C79" s="120"/>
      <c r="D79" s="120"/>
      <c r="E79" s="119"/>
      <c r="F79" s="120"/>
      <c r="G79" s="120"/>
      <c r="H79" s="120"/>
      <c r="I79" s="120"/>
      <c r="J79" s="120"/>
      <c r="K79" s="84"/>
      <c r="L79" s="148" t="s">
        <v>144</v>
      </c>
    </row>
    <row r="80" spans="1:17" ht="80.25" customHeight="1">
      <c r="A80" s="43"/>
      <c r="B80" s="167"/>
      <c r="C80" s="120"/>
      <c r="D80" s="120"/>
      <c r="E80" s="119"/>
      <c r="F80" s="120"/>
      <c r="G80" s="120"/>
      <c r="H80" s="120"/>
      <c r="I80" s="120"/>
      <c r="J80" s="120"/>
      <c r="K80" s="84"/>
      <c r="L80" s="148" t="s">
        <v>145</v>
      </c>
    </row>
    <row r="81" spans="1:17" ht="81" customHeight="1">
      <c r="A81" s="43"/>
      <c r="B81" s="167"/>
      <c r="C81" s="120"/>
      <c r="D81" s="120"/>
      <c r="E81" s="119"/>
      <c r="F81" s="120"/>
      <c r="G81" s="120"/>
      <c r="H81" s="120"/>
      <c r="I81" s="120"/>
      <c r="J81" s="120"/>
      <c r="K81" s="84"/>
      <c r="L81" s="148" t="s">
        <v>147</v>
      </c>
    </row>
    <row r="82" spans="1:17" ht="390" customHeight="1">
      <c r="A82" s="23"/>
      <c r="B82" s="167"/>
      <c r="C82" s="120"/>
      <c r="D82" s="120"/>
      <c r="E82" s="119"/>
      <c r="F82" s="120"/>
      <c r="G82" s="120"/>
      <c r="H82" s="120"/>
      <c r="I82" s="120"/>
      <c r="J82" s="120"/>
      <c r="K82" s="84"/>
      <c r="L82" s="21" t="s">
        <v>148</v>
      </c>
      <c r="Q82" s="96">
        <f>3.5+5.5+4.8+36.5+6.7+2.94+4.92+6.3+10+1.8+12.14+4.8+1.8+10+10.8+1.8</f>
        <v>124.29999999999998</v>
      </c>
    </row>
    <row r="83" spans="1:17" ht="390.75" customHeight="1">
      <c r="A83" s="23"/>
      <c r="B83" s="151"/>
      <c r="C83" s="120"/>
      <c r="D83" s="120"/>
      <c r="E83" s="119"/>
      <c r="F83" s="120"/>
      <c r="G83" s="120"/>
      <c r="H83" s="120"/>
      <c r="I83" s="120"/>
      <c r="J83" s="120"/>
      <c r="K83" s="84"/>
      <c r="L83" s="21" t="s">
        <v>192</v>
      </c>
      <c r="Q83" s="96">
        <f>7.5+8.9+8.4+10.1+8.5+4+2.2+2.4+19.9+5+7+7+7+7+7</f>
        <v>111.9</v>
      </c>
    </row>
    <row r="84" spans="1:17" ht="56.25">
      <c r="A84" s="24"/>
      <c r="B84" s="44"/>
      <c r="C84" s="130"/>
      <c r="D84" s="130"/>
      <c r="E84" s="122"/>
      <c r="F84" s="130"/>
      <c r="G84" s="130"/>
      <c r="H84" s="130"/>
      <c r="I84" s="130"/>
      <c r="J84" s="130"/>
      <c r="K84" s="85"/>
      <c r="L84" s="152" t="s">
        <v>149</v>
      </c>
      <c r="Q84" s="96">
        <f>27.5+8</f>
        <v>35.5</v>
      </c>
    </row>
    <row r="85" spans="1:17" ht="56.25">
      <c r="A85" s="17" t="s">
        <v>32</v>
      </c>
      <c r="B85" s="18" t="s">
        <v>77</v>
      </c>
      <c r="C85" s="111">
        <f>C87+C88+C86</f>
        <v>13008.713</v>
      </c>
      <c r="D85" s="111">
        <f>D87+D88+D86</f>
        <v>96572</v>
      </c>
      <c r="E85" s="111">
        <f>E87+E88+E86</f>
        <v>11061.5</v>
      </c>
      <c r="F85" s="111">
        <f>F87+F88+F86</f>
        <v>120642.213</v>
      </c>
      <c r="G85" s="111">
        <f t="shared" ref="G85:I85" si="2">G87+G88+G86</f>
        <v>6852.4350199999999</v>
      </c>
      <c r="H85" s="111">
        <f>H87+H88+H86</f>
        <v>41396.155639999997</v>
      </c>
      <c r="I85" s="111">
        <f t="shared" si="2"/>
        <v>9395.9815999999992</v>
      </c>
      <c r="J85" s="111">
        <f>J87+J88+J86</f>
        <v>57644.572259999994</v>
      </c>
      <c r="K85" s="78">
        <f t="shared" ref="K85:K88" si="3">J85*100/F85</f>
        <v>47.781428097642738</v>
      </c>
      <c r="L85" s="100"/>
    </row>
    <row r="86" spans="1:17" ht="322.5" customHeight="1">
      <c r="A86" s="45" t="s">
        <v>33</v>
      </c>
      <c r="B86" s="46" t="s">
        <v>46</v>
      </c>
      <c r="C86" s="124">
        <f>6374.532-0.002</f>
        <v>6374.53</v>
      </c>
      <c r="D86" s="124">
        <v>8386</v>
      </c>
      <c r="E86" s="124"/>
      <c r="F86" s="111">
        <f>E86+D86+C86</f>
        <v>14760.529999999999</v>
      </c>
      <c r="G86" s="126">
        <f>2953.65716-0.01</f>
        <v>2953.64716</v>
      </c>
      <c r="H86" s="126">
        <f>3052.15459</f>
        <v>3052.1545900000001</v>
      </c>
      <c r="I86" s="126"/>
      <c r="J86" s="127">
        <f>I86+H86+G86</f>
        <v>6005.8017500000005</v>
      </c>
      <c r="K86" s="82">
        <f>J86*100/F86</f>
        <v>40.688252725342522</v>
      </c>
      <c r="L86" s="95" t="s">
        <v>177</v>
      </c>
      <c r="Q86" s="96">
        <f>2953.7+298.4+2753.7</f>
        <v>6005.7999999999993</v>
      </c>
    </row>
    <row r="87" spans="1:17" ht="233.25" customHeight="1">
      <c r="A87" s="28" t="s">
        <v>35</v>
      </c>
      <c r="B87" s="16" t="s">
        <v>7</v>
      </c>
      <c r="C87" s="124"/>
      <c r="D87" s="124">
        <v>84886</v>
      </c>
      <c r="E87" s="124">
        <v>11061.5</v>
      </c>
      <c r="F87" s="111">
        <f t="shared" ref="F87:F93" si="4">E87+D87+C87</f>
        <v>95947.5</v>
      </c>
      <c r="H87" s="126">
        <v>38344.001049999999</v>
      </c>
      <c r="I87" s="126">
        <v>9395.9815999999992</v>
      </c>
      <c r="J87" s="127">
        <f>G87+H87+I87</f>
        <v>47739.982649999998</v>
      </c>
      <c r="K87" s="82">
        <f t="shared" si="3"/>
        <v>49.756359102634249</v>
      </c>
      <c r="L87" s="154" t="s">
        <v>175</v>
      </c>
    </row>
    <row r="88" spans="1:17" ht="255" customHeight="1">
      <c r="A88" s="28" t="s">
        <v>36</v>
      </c>
      <c r="B88" s="16" t="s">
        <v>8</v>
      </c>
      <c r="C88" s="124">
        <f>6634.184-0.001</f>
        <v>6634.183</v>
      </c>
      <c r="D88" s="124">
        <v>3300</v>
      </c>
      <c r="E88" s="124"/>
      <c r="F88" s="111">
        <f t="shared" si="4"/>
        <v>9934.1830000000009</v>
      </c>
      <c r="G88" s="126">
        <v>3898.7878599999999</v>
      </c>
      <c r="H88" s="126"/>
      <c r="I88" s="126"/>
      <c r="J88" s="127">
        <f>I88+H88+G88</f>
        <v>3898.7878599999999</v>
      </c>
      <c r="K88" s="82">
        <f t="shared" si="3"/>
        <v>39.246185217244332</v>
      </c>
      <c r="L88" s="154" t="s">
        <v>176</v>
      </c>
      <c r="Q88" s="96">
        <f>955.3+51.9+7.9+57.5+96.4+33.7+2452.3+141.6+86.2+16</f>
        <v>3898.7999999999997</v>
      </c>
    </row>
    <row r="89" spans="1:17" ht="99" customHeight="1">
      <c r="A89" s="59" t="s">
        <v>38</v>
      </c>
      <c r="B89" s="60" t="s">
        <v>85</v>
      </c>
      <c r="C89" s="118">
        <v>28368.738000000001</v>
      </c>
      <c r="D89" s="118">
        <v>3513</v>
      </c>
      <c r="E89" s="118"/>
      <c r="F89" s="118">
        <f>E89+D89+C89</f>
        <v>31881.738000000001</v>
      </c>
      <c r="G89" s="118">
        <v>8306.1795500000007</v>
      </c>
      <c r="H89" s="118"/>
      <c r="I89" s="118"/>
      <c r="J89" s="118">
        <f>I89+H89+G89</f>
        <v>8306.1795500000007</v>
      </c>
      <c r="K89" s="83">
        <f>J89*100/F89</f>
        <v>26.053095191987339</v>
      </c>
      <c r="L89" s="101" t="s">
        <v>113</v>
      </c>
      <c r="Q89" s="96">
        <f>5105.2+1253+74.3+98.3+6.2+160.7+240.2+291+278.5+109.2+122.4+1.8</f>
        <v>7740.7999999999993</v>
      </c>
    </row>
    <row r="90" spans="1:17" ht="61.5" customHeight="1">
      <c r="A90" s="145"/>
      <c r="B90" s="62"/>
      <c r="C90" s="120"/>
      <c r="D90" s="120"/>
      <c r="E90" s="120"/>
      <c r="F90" s="120"/>
      <c r="G90" s="120"/>
      <c r="H90" s="120"/>
      <c r="I90" s="120"/>
      <c r="J90" s="120"/>
      <c r="K90" s="84"/>
      <c r="L90" s="102" t="s">
        <v>112</v>
      </c>
      <c r="Q90" s="96">
        <v>111.4</v>
      </c>
    </row>
    <row r="91" spans="1:17" ht="56.25" customHeight="1">
      <c r="A91" s="61"/>
      <c r="B91" s="62"/>
      <c r="C91" s="120"/>
      <c r="D91" s="120"/>
      <c r="E91" s="120"/>
      <c r="F91" s="120"/>
      <c r="G91" s="120"/>
      <c r="H91" s="120"/>
      <c r="I91" s="120"/>
      <c r="J91" s="120"/>
      <c r="K91" s="84"/>
      <c r="L91" s="102" t="s">
        <v>108</v>
      </c>
      <c r="Q91" s="96">
        <v>47</v>
      </c>
    </row>
    <row r="92" spans="1:17" ht="115.5" customHeight="1">
      <c r="A92" s="61"/>
      <c r="B92" s="62"/>
      <c r="C92" s="120"/>
      <c r="D92" s="120"/>
      <c r="E92" s="120"/>
      <c r="F92" s="120"/>
      <c r="G92" s="120"/>
      <c r="H92" s="120"/>
      <c r="I92" s="120"/>
      <c r="J92" s="120"/>
      <c r="K92" s="84"/>
      <c r="L92" s="62" t="s">
        <v>111</v>
      </c>
      <c r="Q92" s="96">
        <f>49.7+99.9+234.7+22.7</f>
        <v>407</v>
      </c>
    </row>
    <row r="93" spans="1:17" ht="180" customHeight="1">
      <c r="A93" s="17" t="s">
        <v>40</v>
      </c>
      <c r="B93" s="47" t="s">
        <v>78</v>
      </c>
      <c r="C93" s="111">
        <v>21</v>
      </c>
      <c r="D93" s="111"/>
      <c r="E93" s="111"/>
      <c r="F93" s="111">
        <f t="shared" si="4"/>
        <v>21</v>
      </c>
      <c r="G93" s="111">
        <v>6.0997000000000003</v>
      </c>
      <c r="H93" s="111"/>
      <c r="I93" s="111"/>
      <c r="J93" s="111">
        <f>G93+H93+I93</f>
        <v>6.0997000000000003</v>
      </c>
      <c r="K93" s="78">
        <f>J93/F93*100</f>
        <v>29.046190476190475</v>
      </c>
      <c r="L93" s="100" t="s">
        <v>160</v>
      </c>
    </row>
    <row r="94" spans="1:17" ht="94.5" customHeight="1">
      <c r="A94" s="48" t="s">
        <v>41</v>
      </c>
      <c r="B94" s="19" t="s">
        <v>79</v>
      </c>
      <c r="C94" s="111">
        <f>C95+C96+C98+C97</f>
        <v>198</v>
      </c>
      <c r="D94" s="111">
        <f t="shared" ref="D94:J94" si="5">D95+D96+D98+D97</f>
        <v>0</v>
      </c>
      <c r="E94" s="111">
        <f t="shared" si="5"/>
        <v>0</v>
      </c>
      <c r="F94" s="111">
        <f t="shared" si="5"/>
        <v>198</v>
      </c>
      <c r="G94" s="111">
        <f>G95+G96+G98+G97</f>
        <v>6.9447200000000002</v>
      </c>
      <c r="H94" s="111">
        <f t="shared" si="5"/>
        <v>0</v>
      </c>
      <c r="I94" s="111">
        <f t="shared" si="5"/>
        <v>0</v>
      </c>
      <c r="J94" s="111">
        <f t="shared" si="5"/>
        <v>6.9447200000000002</v>
      </c>
      <c r="K94" s="78">
        <f>J94*100/F94</f>
        <v>3.5074343434343431</v>
      </c>
      <c r="L94" s="100"/>
    </row>
    <row r="95" spans="1:17" ht="75">
      <c r="A95" s="49" t="s">
        <v>70</v>
      </c>
      <c r="B95" s="16" t="s">
        <v>9</v>
      </c>
      <c r="C95" s="124">
        <v>23</v>
      </c>
      <c r="D95" s="124"/>
      <c r="E95" s="124"/>
      <c r="F95" s="111">
        <f>E95+D95+C95</f>
        <v>23</v>
      </c>
      <c r="G95" s="124"/>
      <c r="H95" s="111"/>
      <c r="I95" s="111"/>
      <c r="J95" s="111">
        <f>I95+H95+G95</f>
        <v>0</v>
      </c>
      <c r="K95" s="78">
        <f>J95*100/F95</f>
        <v>0</v>
      </c>
      <c r="L95" s="155" t="s">
        <v>178</v>
      </c>
    </row>
    <row r="96" spans="1:17" ht="56.25">
      <c r="A96" s="50" t="s">
        <v>71</v>
      </c>
      <c r="B96" s="42" t="s">
        <v>49</v>
      </c>
      <c r="C96" s="124">
        <v>50</v>
      </c>
      <c r="D96" s="124"/>
      <c r="E96" s="124"/>
      <c r="F96" s="111">
        <f>E96+D96+C96</f>
        <v>50</v>
      </c>
      <c r="G96" s="124">
        <f>1.93365-0.03</f>
        <v>1.9036500000000001</v>
      </c>
      <c r="H96" s="111"/>
      <c r="I96" s="111"/>
      <c r="J96" s="111">
        <f>I96+H96+G96</f>
        <v>1.9036500000000001</v>
      </c>
      <c r="K96" s="78">
        <f>J96*100/F96</f>
        <v>3.8073000000000001</v>
      </c>
      <c r="L96" s="155" t="s">
        <v>181</v>
      </c>
    </row>
    <row r="97" spans="1:17" ht="75">
      <c r="A97" s="28" t="s">
        <v>72</v>
      </c>
      <c r="B97" s="46" t="s">
        <v>10</v>
      </c>
      <c r="C97" s="124">
        <v>120</v>
      </c>
      <c r="D97" s="124"/>
      <c r="E97" s="124"/>
      <c r="F97" s="111">
        <f>E97+D97+C97</f>
        <v>120</v>
      </c>
      <c r="G97" s="124">
        <v>2</v>
      </c>
      <c r="H97" s="124"/>
      <c r="I97" s="124"/>
      <c r="J97" s="111">
        <f>I97+H97+G97</f>
        <v>2</v>
      </c>
      <c r="K97" s="78">
        <f>J97*100/F97</f>
        <v>1.6666666666666667</v>
      </c>
      <c r="L97" s="156" t="s">
        <v>179</v>
      </c>
    </row>
    <row r="98" spans="1:17" ht="59.25" customHeight="1">
      <c r="A98" s="28" t="s">
        <v>73</v>
      </c>
      <c r="B98" s="46" t="s">
        <v>11</v>
      </c>
      <c r="C98" s="124">
        <v>5</v>
      </c>
      <c r="D98" s="124"/>
      <c r="E98" s="124"/>
      <c r="F98" s="111">
        <f>E98+D98+C98</f>
        <v>5</v>
      </c>
      <c r="G98" s="124">
        <v>3.0410699999999999</v>
      </c>
      <c r="H98" s="124"/>
      <c r="I98" s="124"/>
      <c r="J98" s="111">
        <f>I98+H98+G98</f>
        <v>3.0410699999999999</v>
      </c>
      <c r="K98" s="78">
        <f>J98*100/F98</f>
        <v>60.821399999999997</v>
      </c>
      <c r="L98" s="95" t="s">
        <v>180</v>
      </c>
    </row>
    <row r="99" spans="1:17" ht="120" customHeight="1">
      <c r="A99" s="30" t="s">
        <v>42</v>
      </c>
      <c r="B99" s="31" t="s">
        <v>80</v>
      </c>
      <c r="C99" s="118">
        <v>1802.5309999999999</v>
      </c>
      <c r="D99" s="118">
        <v>2000</v>
      </c>
      <c r="E99" s="118"/>
      <c r="F99" s="118">
        <f>E99+D99+C99</f>
        <v>3802.5309999999999</v>
      </c>
      <c r="G99" s="118">
        <v>809.70632999999998</v>
      </c>
      <c r="H99" s="118">
        <v>1000</v>
      </c>
      <c r="I99" s="118"/>
      <c r="J99" s="118">
        <f>G99+I99+H99</f>
        <v>1809.70633</v>
      </c>
      <c r="K99" s="83">
        <f>J99/F99*100</f>
        <v>47.592151911450557</v>
      </c>
      <c r="L99" s="15" t="s">
        <v>152</v>
      </c>
      <c r="Q99" s="96">
        <f>374.8+103+0.8+30.4+6.2+8.9+82.8+6+7.4+3.7+7.8</f>
        <v>631.79999999999995</v>
      </c>
    </row>
    <row r="100" spans="1:17" ht="124.5" customHeight="1">
      <c r="A100" s="43"/>
      <c r="B100" s="72"/>
      <c r="C100" s="120"/>
      <c r="D100" s="120"/>
      <c r="E100" s="120"/>
      <c r="F100" s="120"/>
      <c r="G100" s="120"/>
      <c r="H100" s="120"/>
      <c r="I100" s="120"/>
      <c r="J100" s="120"/>
      <c r="K100" s="84"/>
      <c r="L100" s="21" t="s">
        <v>150</v>
      </c>
      <c r="Q100" s="96">
        <f>600+420.4+128</f>
        <v>1148.4000000000001</v>
      </c>
    </row>
    <row r="101" spans="1:17" ht="99.75" customHeight="1">
      <c r="A101" s="71"/>
      <c r="B101" s="73"/>
      <c r="C101" s="130"/>
      <c r="D101" s="130"/>
      <c r="E101" s="120"/>
      <c r="F101" s="130"/>
      <c r="G101" s="130"/>
      <c r="H101" s="130"/>
      <c r="I101" s="130"/>
      <c r="J101" s="130"/>
      <c r="K101" s="85"/>
      <c r="L101" s="152" t="s">
        <v>151</v>
      </c>
      <c r="Q101" s="96">
        <f>13.2+3+2.8+9.8+0.7</f>
        <v>29.5</v>
      </c>
    </row>
    <row r="102" spans="1:17" ht="76.5" customHeight="1">
      <c r="A102" s="48" t="s">
        <v>43</v>
      </c>
      <c r="B102" s="51" t="s">
        <v>81</v>
      </c>
      <c r="C102" s="118">
        <f t="shared" ref="C102:J102" si="6">C103+C112</f>
        <v>28261.094000000001</v>
      </c>
      <c r="D102" s="111">
        <f t="shared" si="6"/>
        <v>20000</v>
      </c>
      <c r="E102" s="118">
        <f t="shared" si="6"/>
        <v>0</v>
      </c>
      <c r="F102" s="111">
        <f t="shared" si="6"/>
        <v>48261.094000000005</v>
      </c>
      <c r="G102" s="111">
        <f t="shared" si="6"/>
        <v>1488.2362599999999</v>
      </c>
      <c r="H102" s="111">
        <f t="shared" si="6"/>
        <v>0</v>
      </c>
      <c r="I102" s="111">
        <f t="shared" si="6"/>
        <v>0</v>
      </c>
      <c r="J102" s="111">
        <f t="shared" si="6"/>
        <v>1488.2362599999999</v>
      </c>
      <c r="K102" s="78">
        <f>J102*100/F102</f>
        <v>3.0837184503111343</v>
      </c>
      <c r="L102" s="100"/>
    </row>
    <row r="103" spans="1:17" ht="341.25" customHeight="1">
      <c r="A103" s="52" t="s">
        <v>44</v>
      </c>
      <c r="B103" s="53" t="s">
        <v>12</v>
      </c>
      <c r="C103" s="117">
        <v>27328.669000000002</v>
      </c>
      <c r="D103" s="117">
        <v>20000</v>
      </c>
      <c r="E103" s="117"/>
      <c r="F103" s="118">
        <f>E103+D103+C103</f>
        <v>47328.669000000002</v>
      </c>
      <c r="G103" s="117">
        <f>1125.85394-0.01</f>
        <v>1125.84394</v>
      </c>
      <c r="H103" s="117"/>
      <c r="I103" s="117"/>
      <c r="J103" s="118">
        <f>I103+H103+G103</f>
        <v>1125.84394</v>
      </c>
      <c r="K103" s="83">
        <f>J103*100/F103</f>
        <v>2.3787779453506288</v>
      </c>
      <c r="L103" s="98" t="s">
        <v>193</v>
      </c>
      <c r="Q103" s="96">
        <f>16.6+31.4+11.3+12.7+13.9+39.9</f>
        <v>125.80000000000001</v>
      </c>
    </row>
    <row r="104" spans="1:17">
      <c r="A104" s="55"/>
      <c r="B104" s="68"/>
      <c r="C104" s="119"/>
      <c r="D104" s="119"/>
      <c r="E104" s="119"/>
      <c r="F104" s="120"/>
      <c r="G104" s="119"/>
      <c r="H104" s="119"/>
      <c r="I104" s="119"/>
      <c r="J104" s="120"/>
      <c r="K104" s="84"/>
      <c r="L104" s="146" t="s">
        <v>99</v>
      </c>
      <c r="Q104" s="96">
        <v>204.7</v>
      </c>
    </row>
    <row r="105" spans="1:17" ht="56.25">
      <c r="A105" s="55"/>
      <c r="B105" s="68"/>
      <c r="C105" s="119"/>
      <c r="D105" s="119"/>
      <c r="E105" s="119"/>
      <c r="F105" s="120"/>
      <c r="G105" s="119"/>
      <c r="H105" s="119"/>
      <c r="I105" s="119"/>
      <c r="J105" s="120"/>
      <c r="K105" s="84"/>
      <c r="L105" s="147" t="s">
        <v>116</v>
      </c>
      <c r="Q105" s="96">
        <v>600</v>
      </c>
    </row>
    <row r="106" spans="1:17" ht="24" customHeight="1">
      <c r="A106" s="55"/>
      <c r="B106" s="68"/>
      <c r="C106" s="119"/>
      <c r="D106" s="119"/>
      <c r="E106" s="119"/>
      <c r="F106" s="120"/>
      <c r="G106" s="119"/>
      <c r="H106" s="119"/>
      <c r="I106" s="119"/>
      <c r="J106" s="120"/>
      <c r="K106" s="84"/>
      <c r="L106" s="146" t="s">
        <v>117</v>
      </c>
      <c r="Q106" s="96">
        <v>46.9</v>
      </c>
    </row>
    <row r="107" spans="1:17" ht="23.25" customHeight="1">
      <c r="A107" s="55"/>
      <c r="B107" s="68"/>
      <c r="C107" s="119"/>
      <c r="D107" s="119"/>
      <c r="E107" s="119"/>
      <c r="F107" s="119"/>
      <c r="G107" s="119"/>
      <c r="H107" s="119"/>
      <c r="I107" s="119"/>
      <c r="J107" s="119"/>
      <c r="K107" s="89"/>
      <c r="L107" s="146" t="s">
        <v>118</v>
      </c>
      <c r="Q107" s="96">
        <v>148.4</v>
      </c>
    </row>
    <row r="108" spans="1:17" ht="320.25" hidden="1" customHeight="1">
      <c r="A108" s="55"/>
      <c r="B108" s="68"/>
      <c r="C108" s="119"/>
      <c r="D108" s="119"/>
      <c r="E108" s="119"/>
      <c r="F108" s="120"/>
      <c r="G108" s="119"/>
      <c r="H108" s="119"/>
      <c r="I108" s="119"/>
      <c r="J108" s="120"/>
      <c r="K108" s="84"/>
      <c r="L108" s="147"/>
    </row>
    <row r="109" spans="1:17" ht="247.5" hidden="1" customHeight="1">
      <c r="A109" s="55"/>
      <c r="B109" s="68"/>
      <c r="C109" s="119"/>
      <c r="D109" s="119"/>
      <c r="E109" s="119"/>
      <c r="F109" s="120"/>
      <c r="G109" s="119"/>
      <c r="H109" s="119"/>
      <c r="I109" s="119"/>
      <c r="J109" s="120"/>
      <c r="K109" s="84"/>
      <c r="L109" s="147"/>
    </row>
    <row r="110" spans="1:17" hidden="1">
      <c r="A110" s="52"/>
      <c r="B110" s="14"/>
      <c r="C110" s="117"/>
      <c r="D110" s="117"/>
      <c r="E110" s="117"/>
      <c r="F110" s="118"/>
      <c r="G110" s="117"/>
      <c r="H110" s="117"/>
      <c r="I110" s="117"/>
      <c r="J110" s="118"/>
      <c r="K110" s="83"/>
      <c r="L110" s="98"/>
    </row>
    <row r="111" spans="1:17" ht="102.75" hidden="1" customHeight="1">
      <c r="A111" s="55"/>
      <c r="B111" s="68"/>
      <c r="C111" s="119"/>
      <c r="D111" s="119"/>
      <c r="E111" s="119"/>
      <c r="F111" s="120"/>
      <c r="G111" s="119"/>
      <c r="H111" s="119"/>
      <c r="I111" s="119"/>
      <c r="J111" s="120"/>
      <c r="K111" s="84"/>
      <c r="L111" s="146"/>
    </row>
    <row r="112" spans="1:17" ht="50.25" customHeight="1">
      <c r="A112" s="49" t="s">
        <v>45</v>
      </c>
      <c r="B112" s="16" t="s">
        <v>13</v>
      </c>
      <c r="C112" s="124">
        <f>932.425</f>
        <v>932.42499999999995</v>
      </c>
      <c r="D112" s="124"/>
      <c r="E112" s="124"/>
      <c r="F112" s="111">
        <f>E112+D112+C112</f>
        <v>932.42499999999995</v>
      </c>
      <c r="G112" s="124">
        <f>362.39232</f>
        <v>362.39231999999998</v>
      </c>
      <c r="H112" s="124"/>
      <c r="I112" s="124"/>
      <c r="J112" s="111">
        <f>I112+H112+G112</f>
        <v>362.39231999999998</v>
      </c>
      <c r="K112" s="78">
        <f>J112*100/F112</f>
        <v>38.865573102394293</v>
      </c>
      <c r="L112" s="100" t="s">
        <v>100</v>
      </c>
    </row>
    <row r="113" spans="1:21" ht="99.75" customHeight="1">
      <c r="A113" s="30" t="s">
        <v>47</v>
      </c>
      <c r="B113" s="37" t="s">
        <v>30</v>
      </c>
      <c r="C113" s="118">
        <v>41163.902000000002</v>
      </c>
      <c r="D113" s="118">
        <v>111027.6</v>
      </c>
      <c r="E113" s="118"/>
      <c r="F113" s="118">
        <f>E113+D113+C113</f>
        <v>152191.50200000001</v>
      </c>
      <c r="G113" s="118">
        <v>69577.486269999994</v>
      </c>
      <c r="H113" s="118">
        <v>772.20493999999997</v>
      </c>
      <c r="I113" s="118"/>
      <c r="J113" s="118">
        <f>SUM(G113:I113)</f>
        <v>70349.69120999999</v>
      </c>
      <c r="K113" s="83">
        <f>J113*100/F113</f>
        <v>46.224454247123461</v>
      </c>
      <c r="L113" s="15" t="s">
        <v>153</v>
      </c>
      <c r="Q113" s="96">
        <f>5456.6+1631.1+59.4+42.3+439.4+5.5+273.4+29.6+0.8</f>
        <v>7938.1</v>
      </c>
    </row>
    <row r="114" spans="1:21" ht="99.75" customHeight="1">
      <c r="A114" s="43"/>
      <c r="B114" s="148"/>
      <c r="C114" s="120"/>
      <c r="D114" s="120"/>
      <c r="E114" s="120"/>
      <c r="F114" s="120"/>
      <c r="G114" s="120"/>
      <c r="H114" s="120"/>
      <c r="I114" s="120"/>
      <c r="J114" s="120"/>
      <c r="K114" s="84"/>
      <c r="L114" s="21" t="s">
        <v>154</v>
      </c>
      <c r="Q114" s="96">
        <f>56127.1+802.2</f>
        <v>56929.299999999996</v>
      </c>
    </row>
    <row r="115" spans="1:21" ht="121.5" customHeight="1">
      <c r="A115" s="43"/>
      <c r="B115" s="148"/>
      <c r="C115" s="120"/>
      <c r="D115" s="120"/>
      <c r="E115" s="120"/>
      <c r="F115" s="120"/>
      <c r="G115" s="120"/>
      <c r="H115" s="120"/>
      <c r="I115" s="120"/>
      <c r="J115" s="120"/>
      <c r="K115" s="84"/>
      <c r="L115" s="21" t="s">
        <v>158</v>
      </c>
      <c r="Q115" s="96">
        <f>3525.1+876.7+50.8+42.4+2.9+138.8+3.2+67.8+1.2</f>
        <v>4708.8999999999996</v>
      </c>
    </row>
    <row r="116" spans="1:21" ht="80.25" customHeight="1">
      <c r="A116" s="43"/>
      <c r="B116" s="148"/>
      <c r="C116" s="120"/>
      <c r="D116" s="120"/>
      <c r="E116" s="120"/>
      <c r="F116" s="120"/>
      <c r="G116" s="120"/>
      <c r="H116" s="120"/>
      <c r="I116" s="120"/>
      <c r="J116" s="120"/>
      <c r="K116" s="84"/>
      <c r="L116" s="21" t="s">
        <v>155</v>
      </c>
    </row>
    <row r="117" spans="1:21" ht="39.75" customHeight="1">
      <c r="A117" s="43"/>
      <c r="B117" s="148"/>
      <c r="C117" s="120"/>
      <c r="D117" s="120"/>
      <c r="E117" s="120"/>
      <c r="F117" s="120"/>
      <c r="G117" s="120"/>
      <c r="H117" s="120"/>
      <c r="I117" s="120"/>
      <c r="J117" s="120"/>
      <c r="K117" s="84"/>
      <c r="L117" s="21" t="s">
        <v>157</v>
      </c>
    </row>
    <row r="118" spans="1:21" ht="41.25" customHeight="1">
      <c r="A118" s="43"/>
      <c r="B118" s="148"/>
      <c r="C118" s="120"/>
      <c r="D118" s="120"/>
      <c r="E118" s="120"/>
      <c r="F118" s="120"/>
      <c r="G118" s="120"/>
      <c r="H118" s="120"/>
      <c r="I118" s="120"/>
      <c r="J118" s="120"/>
      <c r="K118" s="84"/>
      <c r="L118" s="21" t="s">
        <v>156</v>
      </c>
    </row>
    <row r="119" spans="1:21" ht="80.25" customHeight="1">
      <c r="A119" s="24"/>
      <c r="B119" s="39"/>
      <c r="C119" s="130"/>
      <c r="D119" s="130"/>
      <c r="E119" s="130"/>
      <c r="F119" s="130"/>
      <c r="G119" s="130"/>
      <c r="H119" s="130"/>
      <c r="I119" s="130"/>
      <c r="J119" s="130"/>
      <c r="K119" s="85"/>
      <c r="L119" s="39" t="s">
        <v>159</v>
      </c>
      <c r="Q119" s="96">
        <f>33+6.5+2.5+10+4.9</f>
        <v>56.9</v>
      </c>
    </row>
    <row r="120" spans="1:21" ht="57.75" customHeight="1">
      <c r="A120" s="54" t="s">
        <v>48</v>
      </c>
      <c r="B120" s="19" t="s">
        <v>82</v>
      </c>
      <c r="C120" s="111">
        <v>390</v>
      </c>
      <c r="D120" s="111">
        <f>192.75399-0.01</f>
        <v>192.74399</v>
      </c>
      <c r="E120" s="111">
        <v>737.76697999999999</v>
      </c>
      <c r="F120" s="111">
        <f>C120+D120+E120</f>
        <v>1320.5109699999998</v>
      </c>
      <c r="G120" s="111"/>
      <c r="H120" s="111"/>
      <c r="I120" s="111"/>
      <c r="J120" s="111">
        <f>I120+H120+G120</f>
        <v>0</v>
      </c>
      <c r="K120" s="78">
        <f t="shared" ref="K120" si="7">J120*100/F120</f>
        <v>0</v>
      </c>
      <c r="L120" s="100" t="s">
        <v>107</v>
      </c>
    </row>
    <row r="121" spans="1:21" ht="233.25" customHeight="1">
      <c r="A121" s="176" t="s">
        <v>50</v>
      </c>
      <c r="B121" s="178" t="s">
        <v>91</v>
      </c>
      <c r="C121" s="118">
        <v>4079.4859999999999</v>
      </c>
      <c r="D121" s="118">
        <v>523</v>
      </c>
      <c r="E121" s="118"/>
      <c r="F121" s="118">
        <f>E121+D121+C121</f>
        <v>4602.4859999999999</v>
      </c>
      <c r="G121" s="118">
        <v>1403.3027300000001</v>
      </c>
      <c r="H121" s="118">
        <v>323.56124999999997</v>
      </c>
      <c r="I121" s="118"/>
      <c r="J121" s="118">
        <f>I121+H121+G121</f>
        <v>1726.8639800000001</v>
      </c>
      <c r="K121" s="83">
        <f>J121*100/F121</f>
        <v>37.52024405940616</v>
      </c>
      <c r="L121" s="98" t="s">
        <v>115</v>
      </c>
      <c r="P121" s="91">
        <f>107.7+95.9+121+14.2+5.4+1.1+4.7+20+0.5</f>
        <v>370.5</v>
      </c>
      <c r="Q121" s="96">
        <f>735.1+183.7+188+76.4+135.7+1.1+9.8+20+0.5+53</f>
        <v>1403.3</v>
      </c>
      <c r="U121" s="1" t="s">
        <v>104</v>
      </c>
    </row>
    <row r="122" spans="1:21" ht="44.25" customHeight="1">
      <c r="A122" s="177"/>
      <c r="B122" s="179"/>
      <c r="C122" s="130"/>
      <c r="D122" s="130"/>
      <c r="E122" s="130"/>
      <c r="F122" s="130"/>
      <c r="G122" s="130"/>
      <c r="H122" s="130"/>
      <c r="I122" s="120"/>
      <c r="J122" s="120"/>
      <c r="K122" s="85"/>
      <c r="L122" s="99" t="s">
        <v>114</v>
      </c>
      <c r="P122" s="91">
        <v>106.1</v>
      </c>
      <c r="Q122" s="96">
        <v>323.60000000000002</v>
      </c>
    </row>
    <row r="123" spans="1:21" ht="120" customHeight="1">
      <c r="A123" s="48" t="s">
        <v>51</v>
      </c>
      <c r="B123" s="19" t="s">
        <v>83</v>
      </c>
      <c r="C123" s="127">
        <f>C124+C128+C129</f>
        <v>101121.99748000001</v>
      </c>
      <c r="D123" s="127">
        <f t="shared" ref="D123:J123" si="8">D124+D128+D129</f>
        <v>16787.400000000001</v>
      </c>
      <c r="E123" s="127">
        <f t="shared" si="8"/>
        <v>61443.6</v>
      </c>
      <c r="F123" s="127">
        <f>F124+F128+F129</f>
        <v>179352.99747999999</v>
      </c>
      <c r="G123" s="127">
        <f t="shared" si="8"/>
        <v>5566.0457799999995</v>
      </c>
      <c r="H123" s="127">
        <f t="shared" si="8"/>
        <v>2274.1789699999999</v>
      </c>
      <c r="I123" s="127">
        <f t="shared" si="8"/>
        <v>17943.568220000001</v>
      </c>
      <c r="J123" s="127">
        <f t="shared" si="8"/>
        <v>25783.792970000002</v>
      </c>
      <c r="K123" s="78">
        <f t="shared" ref="K123:K130" si="9">J123*100/F123</f>
        <v>14.376003374504631</v>
      </c>
      <c r="L123" s="157"/>
    </row>
    <row r="124" spans="1:21" ht="104.25" customHeight="1">
      <c r="A124" s="52" t="s">
        <v>52</v>
      </c>
      <c r="B124" s="36" t="s">
        <v>14</v>
      </c>
      <c r="C124" s="129">
        <f>84353.33648+0.02</f>
        <v>84353.356480000002</v>
      </c>
      <c r="D124" s="132">
        <v>9000</v>
      </c>
      <c r="E124" s="129"/>
      <c r="F124" s="107">
        <f>E124+D124+C124</f>
        <v>93353.356480000002</v>
      </c>
      <c r="G124" s="129"/>
      <c r="H124" s="129"/>
      <c r="I124" s="129"/>
      <c r="J124" s="107">
        <f>I124+H124+G124</f>
        <v>0</v>
      </c>
      <c r="K124" s="77">
        <f t="shared" si="9"/>
        <v>0</v>
      </c>
      <c r="L124" s="15" t="s">
        <v>182</v>
      </c>
    </row>
    <row r="125" spans="1:21" ht="135" customHeight="1">
      <c r="A125" s="55"/>
      <c r="B125" s="56"/>
      <c r="C125" s="108"/>
      <c r="D125" s="133"/>
      <c r="E125" s="108"/>
      <c r="F125" s="121"/>
      <c r="G125" s="108"/>
      <c r="H125" s="108"/>
      <c r="I125" s="108"/>
      <c r="J125" s="121"/>
      <c r="K125" s="79"/>
      <c r="L125" s="148" t="s">
        <v>194</v>
      </c>
    </row>
    <row r="126" spans="1:21" ht="181.5" customHeight="1">
      <c r="A126" s="55"/>
      <c r="B126" s="56"/>
      <c r="C126" s="108"/>
      <c r="D126" s="133"/>
      <c r="E126" s="108"/>
      <c r="F126" s="121"/>
      <c r="G126" s="108"/>
      <c r="H126" s="108"/>
      <c r="I126" s="108"/>
      <c r="J126" s="121"/>
      <c r="K126" s="79"/>
      <c r="L126" s="148" t="s">
        <v>183</v>
      </c>
    </row>
    <row r="127" spans="1:21" ht="118.5" customHeight="1">
      <c r="A127" s="57"/>
      <c r="B127" s="58"/>
      <c r="C127" s="109"/>
      <c r="D127" s="134"/>
      <c r="E127" s="109"/>
      <c r="F127" s="110"/>
      <c r="G127" s="109"/>
      <c r="H127" s="109"/>
      <c r="I127" s="109"/>
      <c r="J127" s="110"/>
      <c r="K127" s="81"/>
      <c r="L127" s="39" t="s">
        <v>195</v>
      </c>
    </row>
    <row r="128" spans="1:21" ht="162.75" customHeight="1">
      <c r="A128" s="49" t="s">
        <v>53</v>
      </c>
      <c r="B128" s="46" t="s">
        <v>15</v>
      </c>
      <c r="C128" s="126">
        <v>2620.8180000000002</v>
      </c>
      <c r="D128" s="126">
        <f>620.7+7166.7</f>
        <v>7787.4</v>
      </c>
      <c r="E128" s="126">
        <v>61443.6</v>
      </c>
      <c r="F128" s="127">
        <f>C128+D128+E128</f>
        <v>71851.817999999999</v>
      </c>
      <c r="G128" s="126">
        <f>369.89446+0.01</f>
        <v>369.90445999999997</v>
      </c>
      <c r="H128" s="126">
        <v>2274.1789699999999</v>
      </c>
      <c r="I128" s="126">
        <v>17943.568220000001</v>
      </c>
      <c r="J128" s="127">
        <f>I128+H128+G128</f>
        <v>20587.651650000003</v>
      </c>
      <c r="K128" s="82">
        <v>0</v>
      </c>
      <c r="L128" s="158" t="s">
        <v>196</v>
      </c>
    </row>
    <row r="129" spans="1:19" ht="95.25" customHeight="1">
      <c r="A129" s="50" t="s">
        <v>53</v>
      </c>
      <c r="B129" s="46" t="s">
        <v>5</v>
      </c>
      <c r="C129" s="126">
        <v>14147.823</v>
      </c>
      <c r="D129" s="126"/>
      <c r="E129" s="126"/>
      <c r="F129" s="127">
        <f>E129+D129+C129</f>
        <v>14147.823</v>
      </c>
      <c r="G129" s="126">
        <f>5196.15132-0.01</f>
        <v>5196.1413199999997</v>
      </c>
      <c r="H129" s="126"/>
      <c r="I129" s="126"/>
      <c r="J129" s="127">
        <f>I129+H129+G129</f>
        <v>5196.1413199999997</v>
      </c>
      <c r="K129" s="82">
        <f t="shared" si="9"/>
        <v>36.727497368323029</v>
      </c>
      <c r="L129" s="29" t="s">
        <v>184</v>
      </c>
      <c r="P129" s="91">
        <f>1448.4+329.7+25.2+17.2+26+65.8+53.5+88.1+0.5</f>
        <v>2054.4</v>
      </c>
      <c r="Q129" s="96">
        <f>3631.2+28.8+1005.2+49.2+105.6+41+135.7+61.3+137.1+1</f>
        <v>5196.1000000000004</v>
      </c>
    </row>
    <row r="130" spans="1:19" ht="135" customHeight="1">
      <c r="A130" s="17" t="s">
        <v>54</v>
      </c>
      <c r="B130" s="18" t="s">
        <v>84</v>
      </c>
      <c r="C130" s="111">
        <v>107</v>
      </c>
      <c r="D130" s="111"/>
      <c r="E130" s="111"/>
      <c r="F130" s="111">
        <f>E130+D130+C130</f>
        <v>107</v>
      </c>
      <c r="G130" s="111"/>
      <c r="H130" s="111"/>
      <c r="I130" s="111"/>
      <c r="J130" s="111">
        <f>SUM(G130:I130)</f>
        <v>0</v>
      </c>
      <c r="K130" s="82">
        <f t="shared" si="9"/>
        <v>0</v>
      </c>
      <c r="L130" s="29" t="s">
        <v>106</v>
      </c>
    </row>
    <row r="131" spans="1:19" s="2" customFormat="1" ht="40.5" customHeight="1">
      <c r="A131" s="168" t="s">
        <v>55</v>
      </c>
      <c r="B131" s="169"/>
      <c r="C131" s="135">
        <f>C102+C123+C121+C89+C120+C93+C94+C45+C85+C99+C76+C46+C10+C113+C130+C9+C7-0.04</f>
        <v>748912.99848999991</v>
      </c>
      <c r="D131" s="135">
        <f>D102+D123+D121+D89+D120+D93+D94+D45+D85+D99+D76+D46+D10+D113+D130+D9+D7</f>
        <v>887402.55161999993</v>
      </c>
      <c r="E131" s="135">
        <f>E102+E123+E121+E89+E120+E93+E94+E45+E85+E99+E76+E46+E10+E113+E130+E9+E7</f>
        <v>260171.58397999997</v>
      </c>
      <c r="F131" s="135">
        <f>F102+F123+F121+F89+F120+F93+F94+F45+F85+F99+F76+F46+F10+F113+F130+F9+F7-0.01</f>
        <v>1896487.1640899999</v>
      </c>
      <c r="G131" s="135">
        <f>G102+G123+G121+G89+G120+G93+G94+G45+G85+G99+G76+G46+G10+G113+G130+G9+G7</f>
        <v>335269.16682000004</v>
      </c>
      <c r="H131" s="135">
        <f>H102+H123+H121+H89+H120+H93+H94+H45+H85+H99+H76+H46+H10+H113+H130+H9+H7</f>
        <v>377485.57212000003</v>
      </c>
      <c r="I131" s="135">
        <f>I102+I123+I121+I89+I120+I93+I94+I45+I85+I99+I76+I46+I10+I113+I130+I9+I7</f>
        <v>80128.603990000003</v>
      </c>
      <c r="J131" s="135">
        <f>J102+J123+J121+J89+J120+J93+J94+J45+J85+J99+J76+J46+J10+J113+J130+J9+J7+0.1</f>
        <v>792883.44293000002</v>
      </c>
      <c r="K131" s="86">
        <f>J131/F131*100</f>
        <v>41.808004712251922</v>
      </c>
      <c r="L131" s="161"/>
      <c r="P131" s="91"/>
      <c r="Q131" s="96"/>
    </row>
    <row r="132" spans="1:19" s="2" customFormat="1" ht="40.5" hidden="1" customHeight="1">
      <c r="A132" s="7"/>
      <c r="B132" s="7"/>
      <c r="C132" s="136">
        <v>748770.2</v>
      </c>
      <c r="D132" s="136">
        <v>880402.6</v>
      </c>
      <c r="E132" s="136">
        <v>260171.6</v>
      </c>
      <c r="F132" s="136">
        <v>1889344.3</v>
      </c>
      <c r="G132" s="136">
        <v>335269.2</v>
      </c>
      <c r="H132" s="136">
        <v>377485.6</v>
      </c>
      <c r="I132" s="136">
        <v>80128.600000000006</v>
      </c>
      <c r="J132" s="136">
        <v>792883.4</v>
      </c>
      <c r="K132" s="87"/>
      <c r="L132" s="162"/>
      <c r="P132" s="91"/>
      <c r="Q132" s="96"/>
    </row>
    <row r="133" spans="1:19" s="2" customFormat="1" ht="108.75" hidden="1" customHeight="1">
      <c r="A133" s="7"/>
      <c r="B133" s="7"/>
      <c r="C133" s="136">
        <f>14175.4+48+393503.9+5051.2+102635.5+14833.7+13008.7+28368.7+21+198+1802.5+28261.1+41163.9+390+4079.5+101122+107</f>
        <v>748770.1</v>
      </c>
      <c r="D133" s="136">
        <f>2011.3+625383.9+455+471.9+1464.7+96572+3513+2000+20000+111027.6+192.7+523+16787.4</f>
        <v>880402.5</v>
      </c>
      <c r="E133" s="136">
        <f>230.6+71229.3+165.8+115303+11061.5+737.8+61443.6</f>
        <v>260171.6</v>
      </c>
      <c r="F133" s="136">
        <f>16417.3+48+1090117.1+5506.2+103273.2+131601.4+120642.2+31881.7+21+198+3802.5+48261.1+152191.5+1320.5+4602.5+179353+107</f>
        <v>1889344.2</v>
      </c>
      <c r="G133" s="136">
        <f>5825.1+35.2+181824.6+2660.1+45161+5746.8+6852.4+8306.2+6.1+6.9+809.7+1488.2+69577.5+1403.3+5566</f>
        <v>335269.10000000003</v>
      </c>
      <c r="H133" s="136">
        <f>757.9+330096.2+157.6+206.7+501+41396.2+1000+772.2+323.6+2274.2</f>
        <v>377485.60000000003</v>
      </c>
      <c r="I133" s="136">
        <f>230.6+32492.7+165.8+19899.9+9396+17943.6</f>
        <v>80128.600000000006</v>
      </c>
      <c r="J133" s="136">
        <f>6813.6+35.2+544413.5+2817.7+45533.5+26147.7+57644.6+8306.2+6.1+6.9+1809.7+1488.2+70349.7+1726.9+25783.8</f>
        <v>792883.29999999981</v>
      </c>
      <c r="K133" s="87"/>
      <c r="L133" s="162"/>
      <c r="P133" s="91"/>
      <c r="Q133" s="96"/>
    </row>
    <row r="134" spans="1:19" hidden="1">
      <c r="A134" s="63"/>
      <c r="B134" s="64"/>
      <c r="C134" s="137">
        <f>C133-C131</f>
        <v>-142.8984899999341</v>
      </c>
      <c r="D134" s="137">
        <f t="shared" ref="D134:J134" si="10">D133-D131</f>
        <v>-7000.0516199999256</v>
      </c>
      <c r="E134" s="137">
        <f t="shared" si="10"/>
        <v>1.6020000039134175E-2</v>
      </c>
      <c r="F134" s="137">
        <f t="shared" si="10"/>
        <v>-7142.9640899999067</v>
      </c>
      <c r="G134" s="137">
        <f t="shared" si="10"/>
        <v>-6.6820000007282943E-2</v>
      </c>
      <c r="H134" s="137">
        <f t="shared" si="10"/>
        <v>2.7880000008735806E-2</v>
      </c>
      <c r="I134" s="137">
        <f t="shared" si="10"/>
        <v>-3.9899999974295497E-3</v>
      </c>
      <c r="J134" s="137">
        <f t="shared" si="10"/>
        <v>-0.14293000020552427</v>
      </c>
      <c r="K134" s="88"/>
      <c r="L134" s="63"/>
    </row>
    <row r="135" spans="1:19" ht="120" customHeight="1">
      <c r="A135" s="69" t="s">
        <v>56</v>
      </c>
      <c r="B135" s="69"/>
      <c r="C135" s="138"/>
      <c r="D135" s="138"/>
      <c r="E135" s="138"/>
      <c r="F135" s="138"/>
      <c r="G135" s="138"/>
      <c r="H135" s="138"/>
      <c r="I135" s="138"/>
      <c r="J135" s="138"/>
      <c r="K135" s="5"/>
      <c r="L135" s="63"/>
    </row>
    <row r="136" spans="1:19" ht="20.25">
      <c r="A136" s="74" t="s">
        <v>57</v>
      </c>
      <c r="B136" s="74"/>
      <c r="C136" s="139"/>
      <c r="D136" s="138"/>
      <c r="E136" s="138"/>
      <c r="F136" s="138"/>
      <c r="G136" s="138"/>
      <c r="H136" s="138"/>
      <c r="I136" s="138"/>
      <c r="J136" s="138"/>
      <c r="K136" s="5"/>
      <c r="L136" s="63"/>
    </row>
    <row r="137" spans="1:19" ht="20.25">
      <c r="A137" s="3" t="s">
        <v>58</v>
      </c>
      <c r="B137" s="3"/>
      <c r="C137" s="140"/>
      <c r="D137" s="141"/>
      <c r="E137" s="142"/>
      <c r="F137" s="143"/>
      <c r="G137" s="144"/>
      <c r="H137" s="144"/>
      <c r="I137" s="144"/>
      <c r="J137" s="143"/>
      <c r="K137" s="4" t="s">
        <v>59</v>
      </c>
    </row>
    <row r="138" spans="1:19" ht="19.5">
      <c r="B138" s="65"/>
      <c r="D138" s="131"/>
      <c r="E138" s="131"/>
    </row>
    <row r="139" spans="1:19" ht="62.25" customHeight="1">
      <c r="D139" s="131"/>
      <c r="E139" s="131"/>
      <c r="L139" s="9"/>
    </row>
    <row r="140" spans="1:19">
      <c r="A140" s="70" t="s">
        <v>60</v>
      </c>
      <c r="B140" s="70"/>
      <c r="D140" s="131"/>
      <c r="E140" s="131"/>
      <c r="L140" s="163"/>
    </row>
    <row r="141" spans="1:19" hidden="1">
      <c r="A141" s="70" t="s">
        <v>74</v>
      </c>
      <c r="B141" s="70"/>
      <c r="D141" s="131"/>
      <c r="E141" s="131"/>
      <c r="L141" s="163"/>
    </row>
    <row r="142" spans="1:19" hidden="1">
      <c r="A142" s="70" t="s">
        <v>75</v>
      </c>
      <c r="B142" s="70"/>
      <c r="D142" s="131"/>
      <c r="E142" s="131"/>
      <c r="L142" s="163"/>
    </row>
    <row r="143" spans="1:19">
      <c r="A143" s="170" t="s">
        <v>61</v>
      </c>
      <c r="B143" s="170"/>
      <c r="D143" s="131"/>
      <c r="E143" s="131"/>
      <c r="L143" s="164"/>
      <c r="S143" s="94"/>
    </row>
    <row r="144" spans="1:19">
      <c r="D144" s="131"/>
      <c r="E144" s="131"/>
    </row>
    <row r="145" spans="4:12">
      <c r="D145" s="131"/>
      <c r="E145" s="131"/>
    </row>
    <row r="146" spans="4:12">
      <c r="D146" s="131"/>
      <c r="E146" s="131"/>
      <c r="L146" s="163"/>
    </row>
    <row r="147" spans="4:12">
      <c r="D147" s="131"/>
      <c r="E147" s="131"/>
      <c r="L147" s="163"/>
    </row>
    <row r="148" spans="4:12">
      <c r="D148" s="131"/>
      <c r="E148" s="131"/>
    </row>
    <row r="149" spans="4:12">
      <c r="D149" s="131"/>
      <c r="E149" s="131"/>
    </row>
    <row r="150" spans="4:12">
      <c r="D150" s="131"/>
      <c r="E150" s="131"/>
    </row>
    <row r="151" spans="4:12">
      <c r="D151" s="131"/>
      <c r="E151" s="131"/>
    </row>
    <row r="152" spans="4:12">
      <c r="D152" s="131"/>
      <c r="E152" s="131"/>
    </row>
    <row r="153" spans="4:12">
      <c r="D153" s="131"/>
    </row>
    <row r="154" spans="4:12">
      <c r="D154" s="131"/>
    </row>
  </sheetData>
  <sheetProtection password="CC21" sheet="1" objects="1" scenarios="1" formatCells="0" formatColumns="0" formatRows="0" insertColumns="0" insertRows="0" insertHyperlinks="0" deleteColumns="0" deleteRows="0" sort="0" autoFilter="0" pivotTables="0"/>
  <mergeCells count="13">
    <mergeCell ref="B76:B82"/>
    <mergeCell ref="A121:A122"/>
    <mergeCell ref="B121:B122"/>
    <mergeCell ref="A131:B131"/>
    <mergeCell ref="A143:B143"/>
    <mergeCell ref="A1:L1"/>
    <mergeCell ref="A2:L2"/>
    <mergeCell ref="A4:A5"/>
    <mergeCell ref="B4:B5"/>
    <mergeCell ref="C4:F4"/>
    <mergeCell ref="G4:J4"/>
    <mergeCell ref="K4:K5"/>
    <mergeCell ref="L4:L5"/>
  </mergeCells>
  <pageMargins left="0.59055118110236227" right="0.59055118110236227" top="0.78740157480314965" bottom="0.39370078740157483" header="0" footer="0"/>
  <pageSetup paperSize="9" scale="3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</vt:lpstr>
      <vt:lpstr>Отчет!Заголовки_для_печати</vt:lpstr>
      <vt:lpstr>Отчет!Область_печати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2022-08-09T07:29:04Z</dcterms:modified>
</cp:coreProperties>
</file>